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embeddings/oleObject2.bin" ContentType="application/vnd.openxmlformats-officedocument.oleObject"/>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Spring 2018\METC 111\"/>
    </mc:Choice>
  </mc:AlternateContent>
  <bookViews>
    <workbookView xWindow="0" yWindow="0" windowWidth="28800" windowHeight="12300" tabRatio="804" activeTab="1"/>
  </bookViews>
  <sheets>
    <sheet name="Initial" sheetId="3" r:id="rId1"/>
    <sheet name="Truck on Earth" sheetId="12" r:id="rId2"/>
    <sheet name="Buckle" sheetId="4" r:id="rId3"/>
    <sheet name="Temp" sheetId="5" r:id="rId4"/>
    <sheet name="Mission Selection" sheetId="9" r:id="rId5"/>
    <sheet name="Planet Design" sheetId="8" r:id="rId6"/>
    <sheet name="Truck on Planet" sheetId="13" r:id="rId7"/>
    <sheet name="Launch Cost" sheetId="14" r:id="rId8"/>
    <sheet name="Temp Co" sheetId="15" r:id="rId9"/>
    <sheet name="Planet Temp" sheetId="16" r:id="rId10"/>
    <sheet name="Planet Gravity" sheetId="6" r:id="rId11"/>
    <sheet name="Material Weight" sheetId="7" r:id="rId12"/>
    <sheet name="Poisson" sheetId="18" r:id="rId13"/>
    <sheet name="Standard Cables" sheetId="10" r:id="rId14"/>
  </sheets>
  <calcPr calcId="162913"/>
</workbook>
</file>

<file path=xl/calcChain.xml><?xml version="1.0" encoding="utf-8"?>
<calcChain xmlns="http://schemas.openxmlformats.org/spreadsheetml/2006/main">
  <c r="U6" i="12" l="1"/>
  <c r="U8" i="12"/>
  <c r="AG4" i="12"/>
  <c r="C32" i="18" l="1"/>
  <c r="C25" i="18"/>
  <c r="C22" i="18"/>
  <c r="C19" i="18"/>
  <c r="C18" i="18"/>
  <c r="C16" i="18"/>
  <c r="C14" i="18"/>
  <c r="C13" i="18"/>
  <c r="C9" i="18"/>
  <c r="D7" i="14"/>
  <c r="D6" i="14"/>
  <c r="D5" i="14"/>
  <c r="D4" i="14"/>
  <c r="B25" i="4"/>
  <c r="D7" i="5"/>
  <c r="D6" i="5" s="1"/>
  <c r="D8" i="5" s="1"/>
  <c r="D4" i="5"/>
  <c r="D5" i="5" s="1"/>
  <c r="D2" i="5"/>
  <c r="D3" i="5"/>
  <c r="C4" i="9"/>
  <c r="B9" i="8" s="1"/>
  <c r="C164" i="15"/>
  <c r="C128" i="15"/>
  <c r="C118" i="15"/>
  <c r="C102" i="15"/>
  <c r="C99" i="15"/>
  <c r="C87" i="15"/>
  <c r="C82" i="15"/>
  <c r="C81" i="15"/>
  <c r="C58" i="15"/>
  <c r="C44" i="15"/>
  <c r="C25" i="15"/>
  <c r="C24" i="15"/>
  <c r="D13" i="5"/>
  <c r="D14" i="5" s="1"/>
  <c r="B15" i="13"/>
  <c r="B8" i="13"/>
  <c r="B12" i="13" s="1"/>
  <c r="B7" i="13"/>
  <c r="B11" i="13" s="1"/>
  <c r="L4" i="13" s="1"/>
  <c r="B6" i="13"/>
  <c r="B16" i="13" s="1"/>
  <c r="N2" i="13"/>
  <c r="B16" i="12"/>
  <c r="B20" i="12" s="1"/>
  <c r="B13" i="12"/>
  <c r="B18" i="12"/>
  <c r="B17" i="12"/>
  <c r="J1" i="7"/>
  <c r="D13" i="7" s="1"/>
  <c r="B7" i="10"/>
  <c r="B8" i="10" s="1"/>
  <c r="C8" i="10" s="1"/>
  <c r="C6" i="10"/>
  <c r="C5" i="10"/>
  <c r="C4" i="10"/>
  <c r="C3" i="10"/>
  <c r="C2" i="10"/>
  <c r="B8" i="8"/>
  <c r="E25" i="8"/>
  <c r="E24" i="8"/>
  <c r="E23" i="8"/>
  <c r="E22" i="8"/>
  <c r="B24" i="8"/>
  <c r="B18" i="8"/>
  <c r="B25" i="8" s="1"/>
  <c r="E25" i="3"/>
  <c r="E24" i="3"/>
  <c r="E23" i="3"/>
  <c r="E22" i="3"/>
  <c r="E12" i="6"/>
  <c r="E11" i="6"/>
  <c r="E10" i="6"/>
  <c r="H10" i="6" s="1"/>
  <c r="I10" i="6" s="1"/>
  <c r="E9" i="6"/>
  <c r="E8" i="6"/>
  <c r="E6" i="6"/>
  <c r="E5" i="6"/>
  <c r="E4" i="6"/>
  <c r="H4" i="6"/>
  <c r="I4" i="6" s="1"/>
  <c r="E3" i="6"/>
  <c r="E14" i="6"/>
  <c r="H12" i="6" s="1"/>
  <c r="E7" i="6"/>
  <c r="H7" i="6"/>
  <c r="E12" i="5"/>
  <c r="E11" i="5"/>
  <c r="O18" i="4"/>
  <c r="N18" i="4"/>
  <c r="O16" i="4"/>
  <c r="N16" i="4"/>
  <c r="O13" i="4"/>
  <c r="N13" i="4"/>
  <c r="O12" i="4"/>
  <c r="N12" i="4"/>
  <c r="O10" i="4"/>
  <c r="N10" i="4"/>
  <c r="O9" i="4"/>
  <c r="N9" i="4"/>
  <c r="O8" i="4"/>
  <c r="N8" i="4"/>
  <c r="O14" i="4"/>
  <c r="N14" i="4"/>
  <c r="O20" i="4"/>
  <c r="O15" i="4"/>
  <c r="O11" i="4"/>
  <c r="O7" i="4"/>
  <c r="O6" i="4"/>
  <c r="O5" i="4"/>
  <c r="O4" i="4"/>
  <c r="O3" i="4"/>
  <c r="N24" i="4"/>
  <c r="O24" i="4" s="1"/>
  <c r="N23" i="4"/>
  <c r="O23" i="4" s="1"/>
  <c r="N22" i="4"/>
  <c r="O22" i="4"/>
  <c r="N21" i="4"/>
  <c r="O21" i="4" s="1"/>
  <c r="N20" i="4"/>
  <c r="N19" i="4"/>
  <c r="O19" i="4"/>
  <c r="N17" i="4"/>
  <c r="O17" i="4" s="1"/>
  <c r="B16" i="3"/>
  <c r="B23" i="3"/>
  <c r="H3" i="3" s="1"/>
  <c r="H4" i="3" s="1"/>
  <c r="B22" i="3"/>
  <c r="B8" i="3"/>
  <c r="AC4" i="12" s="1"/>
  <c r="H5" i="6"/>
  <c r="I5" i="6" s="1"/>
  <c r="L3" i="13"/>
  <c r="D4" i="9"/>
  <c r="B10" i="8" s="1"/>
  <c r="N3" i="12" l="1"/>
  <c r="N4" i="12"/>
  <c r="C7" i="10"/>
  <c r="H8" i="6"/>
  <c r="H11" i="6"/>
  <c r="I11" i="6" s="1"/>
  <c r="B17" i="13"/>
  <c r="B10" i="13"/>
  <c r="B12" i="12"/>
  <c r="L1" i="12" s="1"/>
  <c r="B9" i="10"/>
  <c r="H6" i="6"/>
  <c r="I6" i="6" s="1"/>
  <c r="F3" i="8"/>
  <c r="F4" i="8" s="1"/>
  <c r="I3" i="8"/>
  <c r="I4" i="8" s="1"/>
  <c r="H3" i="8"/>
  <c r="H4" i="8" s="1"/>
  <c r="U1" i="13"/>
  <c r="AC4" i="13" s="1"/>
  <c r="G3" i="8"/>
  <c r="G4" i="8" s="1"/>
  <c r="I7" i="6"/>
  <c r="D33" i="7"/>
  <c r="D17" i="7"/>
  <c r="L2" i="13"/>
  <c r="B11" i="12"/>
  <c r="D29" i="7"/>
  <c r="N1" i="13"/>
  <c r="N4" i="13"/>
  <c r="B18" i="13"/>
  <c r="N3" i="13"/>
  <c r="I12" i="6"/>
  <c r="I8" i="6"/>
  <c r="D6" i="7"/>
  <c r="D10" i="7"/>
  <c r="D14" i="7"/>
  <c r="D18" i="7"/>
  <c r="D22" i="7"/>
  <c r="D26" i="7"/>
  <c r="D30" i="7"/>
  <c r="D34" i="7"/>
  <c r="D38" i="7"/>
  <c r="D3" i="7"/>
  <c r="D7" i="7"/>
  <c r="D11" i="7"/>
  <c r="D15" i="7"/>
  <c r="D19" i="7"/>
  <c r="D23" i="7"/>
  <c r="D27" i="7"/>
  <c r="D31" i="7"/>
  <c r="D35" i="7"/>
  <c r="D39" i="7"/>
  <c r="D4" i="7"/>
  <c r="D8" i="7"/>
  <c r="D12" i="7"/>
  <c r="D16" i="7"/>
  <c r="D20" i="7"/>
  <c r="D24" i="7"/>
  <c r="D28" i="7"/>
  <c r="D32" i="7"/>
  <c r="D36" i="7"/>
  <c r="D2" i="7"/>
  <c r="D25" i="7"/>
  <c r="D9" i="7"/>
  <c r="J4" i="13"/>
  <c r="J1" i="13"/>
  <c r="J2" i="13"/>
  <c r="L1" i="13"/>
  <c r="D37" i="7"/>
  <c r="D21" i="7"/>
  <c r="D5" i="7"/>
  <c r="N2" i="12"/>
  <c r="N1" i="12"/>
  <c r="H9" i="6"/>
  <c r="I9" i="6" s="1"/>
  <c r="B26" i="4"/>
  <c r="B28" i="4" s="1"/>
  <c r="B29" i="4" s="1"/>
  <c r="B27" i="4"/>
  <c r="F3" i="3"/>
  <c r="F4" i="3" s="1"/>
  <c r="I3" i="3"/>
  <c r="I4" i="3" s="1"/>
  <c r="G3" i="3"/>
  <c r="G4" i="3" s="1"/>
  <c r="B30" i="4"/>
  <c r="B31" i="4" s="1"/>
  <c r="H3" i="6"/>
  <c r="I3" i="6" s="1"/>
  <c r="D9" i="5"/>
  <c r="D16" i="5" s="1"/>
  <c r="D15" i="5"/>
  <c r="F2" i="12" l="1"/>
  <c r="F3" i="12"/>
  <c r="L2" i="12"/>
  <c r="R3" i="13"/>
  <c r="Y3" i="13" s="1"/>
  <c r="C9" i="10"/>
  <c r="B10" i="10"/>
  <c r="L4" i="12"/>
  <c r="L3" i="12"/>
  <c r="J3" i="13"/>
  <c r="F2" i="13"/>
  <c r="F1" i="13"/>
  <c r="Y2" i="13"/>
  <c r="R2" i="13"/>
  <c r="W4" i="13" s="1"/>
  <c r="W2" i="13"/>
  <c r="Y4" i="13"/>
  <c r="R1" i="13"/>
  <c r="U8" i="13" s="1"/>
  <c r="B13" i="8" s="1"/>
  <c r="J4" i="12"/>
  <c r="J1" i="12"/>
  <c r="F1" i="12"/>
  <c r="J3" i="12"/>
  <c r="J2" i="12"/>
  <c r="R4" i="13"/>
  <c r="AA3" i="13" s="1"/>
  <c r="W3" i="13"/>
  <c r="C10" i="10" l="1"/>
  <c r="B11" i="10"/>
  <c r="U3" i="13"/>
  <c r="R2" i="12"/>
  <c r="W2" i="12" s="1"/>
  <c r="R4" i="12"/>
  <c r="AA2" i="12" s="1"/>
  <c r="AA4" i="13"/>
  <c r="U2" i="13"/>
  <c r="U4" i="13"/>
  <c r="R3" i="12"/>
  <c r="AA2" i="13"/>
  <c r="R1" i="12"/>
  <c r="U2" i="12" s="1"/>
  <c r="C11" i="10" l="1"/>
  <c r="B12" i="10"/>
  <c r="Y4" i="12"/>
  <c r="Y3" i="12"/>
  <c r="Y2" i="12"/>
  <c r="AA4" i="12"/>
  <c r="AA3" i="12"/>
  <c r="U6" i="13"/>
  <c r="U7" i="13" s="1"/>
  <c r="B12" i="8" s="1"/>
  <c r="W3" i="12"/>
  <c r="W4" i="12"/>
  <c r="B11" i="3"/>
  <c r="U3" i="12"/>
  <c r="U4" i="12"/>
  <c r="B13" i="10" l="1"/>
  <c r="C12" i="10"/>
  <c r="U7" i="12"/>
  <c r="B10" i="3" s="1"/>
  <c r="G9" i="8"/>
  <c r="G10" i="8" s="1"/>
  <c r="F9" i="8"/>
  <c r="F10" i="8" s="1"/>
  <c r="I9" i="8"/>
  <c r="I10" i="8" s="1"/>
  <c r="H9" i="8"/>
  <c r="H10" i="8" s="1"/>
  <c r="C13" i="10" l="1"/>
  <c r="B14" i="10"/>
  <c r="H9" i="3"/>
  <c r="H10" i="3" s="1"/>
  <c r="G9" i="3"/>
  <c r="G10" i="3" s="1"/>
  <c r="F9" i="3"/>
  <c r="F10" i="3" s="1"/>
  <c r="I9" i="3"/>
  <c r="I10" i="3" s="1"/>
  <c r="C14" i="10" l="1"/>
  <c r="B15" i="10"/>
  <c r="B16" i="10" l="1"/>
  <c r="C15" i="10"/>
  <c r="C16" i="10" l="1"/>
  <c r="B17" i="10"/>
  <c r="C17" i="10" l="1"/>
  <c r="B18" i="10"/>
  <c r="C18" i="10" l="1"/>
  <c r="B19" i="10"/>
  <c r="C19" i="10" l="1"/>
  <c r="B20" i="10"/>
  <c r="C20" i="10" l="1"/>
  <c r="B21" i="10"/>
  <c r="C21" i="10" l="1"/>
  <c r="B22" i="10"/>
  <c r="C22" i="10" l="1"/>
  <c r="B23" i="10"/>
  <c r="B24" i="10" l="1"/>
  <c r="C23" i="10"/>
  <c r="B25" i="10" l="1"/>
  <c r="C24" i="10"/>
  <c r="B26" i="10" l="1"/>
  <c r="C25" i="10"/>
  <c r="B27" i="10" l="1"/>
  <c r="C26" i="10"/>
  <c r="C27" i="10" l="1"/>
  <c r="B28" i="10"/>
  <c r="C28" i="10" l="1"/>
  <c r="B29" i="10"/>
  <c r="B30" i="10" l="1"/>
  <c r="C29" i="10"/>
  <c r="B31" i="10" l="1"/>
  <c r="C30" i="10"/>
  <c r="B32" i="10" l="1"/>
  <c r="C31" i="10"/>
  <c r="B33" i="10" l="1"/>
  <c r="C32" i="10"/>
  <c r="C33" i="10" l="1"/>
  <c r="B34" i="10"/>
  <c r="B35" i="10" l="1"/>
  <c r="C34" i="10"/>
  <c r="B36" i="10" l="1"/>
  <c r="C35" i="10"/>
  <c r="B37" i="10" l="1"/>
  <c r="C36" i="10"/>
  <c r="B38" i="10" l="1"/>
  <c r="C37" i="10"/>
  <c r="B39" i="10" l="1"/>
  <c r="C38" i="10"/>
  <c r="B40" i="10" l="1"/>
  <c r="C39" i="10"/>
  <c r="C40" i="10" l="1"/>
  <c r="B41" i="10"/>
  <c r="C41" i="10" l="1"/>
  <c r="B42" i="10"/>
  <c r="C42" i="10" l="1"/>
  <c r="B43" i="10"/>
  <c r="C43" i="10" l="1"/>
  <c r="B44" i="10"/>
  <c r="B45" i="10" l="1"/>
  <c r="C44" i="10"/>
  <c r="C45" i="10" l="1"/>
  <c r="B46" i="10"/>
  <c r="B47" i="10" l="1"/>
  <c r="C46" i="10"/>
  <c r="C47" i="10" l="1"/>
  <c r="B48" i="10"/>
  <c r="B49" i="10" l="1"/>
  <c r="C48" i="10"/>
  <c r="C49" i="10" l="1"/>
  <c r="B50" i="10"/>
  <c r="C50" i="10" l="1"/>
  <c r="B51" i="10"/>
  <c r="C51" i="10" l="1"/>
  <c r="B52" i="10"/>
  <c r="B53" i="10" l="1"/>
  <c r="C52" i="10"/>
  <c r="C53" i="10" l="1"/>
  <c r="B54" i="10"/>
  <c r="B55" i="10" l="1"/>
  <c r="C54" i="10"/>
  <c r="C55" i="10" l="1"/>
  <c r="B56" i="10"/>
  <c r="B57" i="10" l="1"/>
  <c r="C56" i="10"/>
  <c r="C57" i="10" l="1"/>
  <c r="B58" i="10"/>
  <c r="B59" i="10" l="1"/>
  <c r="C58" i="10"/>
  <c r="C59" i="10" l="1"/>
  <c r="B60" i="10"/>
  <c r="B61" i="10" l="1"/>
  <c r="C60" i="10"/>
  <c r="C61" i="10" l="1"/>
  <c r="B62" i="10"/>
  <c r="B63" i="10" l="1"/>
  <c r="C62" i="10"/>
  <c r="B64" i="10" l="1"/>
  <c r="C63" i="10"/>
  <c r="B65" i="10" l="1"/>
  <c r="C64" i="10"/>
  <c r="B66" i="10" l="1"/>
  <c r="C65" i="10"/>
  <c r="B67" i="10" l="1"/>
  <c r="C66" i="10"/>
  <c r="C67" i="10" l="1"/>
  <c r="B68" i="10"/>
  <c r="H5" i="3"/>
  <c r="F24" i="3" s="1"/>
  <c r="G24" i="3" s="1"/>
  <c r="I5" i="3"/>
  <c r="F25" i="3" s="1"/>
  <c r="G25" i="3" s="1"/>
  <c r="C17" i="9" s="1"/>
  <c r="C18" i="9" s="1"/>
  <c r="C27" i="9" s="1"/>
  <c r="G5" i="3"/>
  <c r="F23" i="3" s="1"/>
  <c r="G23" i="3" s="1"/>
  <c r="G5" i="8"/>
  <c r="F23" i="8" s="1"/>
  <c r="G23" i="8" s="1"/>
  <c r="F5" i="3"/>
  <c r="F22" i="3" s="1"/>
  <c r="G22" i="3" s="1"/>
  <c r="C7" i="9" s="1"/>
  <c r="C8" i="9" s="1"/>
  <c r="C26" i="9" s="1"/>
  <c r="H5" i="8"/>
  <c r="F24" i="8" s="1"/>
  <c r="G24" i="8" s="1"/>
  <c r="F5" i="8"/>
  <c r="F22" i="8" s="1"/>
  <c r="G22" i="8" s="1"/>
  <c r="C9" i="9" s="1"/>
  <c r="C10" i="9" s="1"/>
  <c r="C28" i="9" s="1"/>
  <c r="F11" i="3"/>
  <c r="H22" i="3" s="1"/>
  <c r="I22" i="3" s="1"/>
  <c r="C11" i="9" s="1"/>
  <c r="C12" i="9" s="1"/>
  <c r="C30" i="9" s="1"/>
  <c r="H11" i="3"/>
  <c r="H24" i="3" s="1"/>
  <c r="I24" i="3" s="1"/>
  <c r="G11" i="3"/>
  <c r="H23" i="3" s="1"/>
  <c r="I23" i="3" s="1"/>
  <c r="I5" i="8" l="1"/>
  <c r="F25" i="8" s="1"/>
  <c r="G25" i="8" s="1"/>
  <c r="C19" i="9" s="1"/>
  <c r="C20" i="9" s="1"/>
  <c r="C29" i="9" s="1"/>
  <c r="B69" i="10"/>
  <c r="C69" i="10" s="1"/>
  <c r="C68" i="10"/>
  <c r="C35" i="9"/>
  <c r="C4" i="14" s="1"/>
  <c r="I11" i="8" l="1"/>
  <c r="H25" i="8" s="1"/>
  <c r="I25" i="8" s="1"/>
  <c r="C23" i="9" s="1"/>
  <c r="C24" i="9" s="1"/>
  <c r="C33" i="9" s="1"/>
  <c r="C38" i="9" s="1"/>
  <c r="C7" i="14" s="1"/>
  <c r="F11" i="8"/>
  <c r="H22" i="8" s="1"/>
  <c r="I22" i="8" s="1"/>
  <c r="C13" i="9" s="1"/>
  <c r="C14" i="9" s="1"/>
  <c r="C32" i="9" s="1"/>
  <c r="C37" i="9" s="1"/>
  <c r="C6" i="14" s="1"/>
  <c r="I11" i="3"/>
  <c r="H25" i="3" s="1"/>
  <c r="I25" i="3" s="1"/>
  <c r="C21" i="9" s="1"/>
  <c r="C22" i="9" s="1"/>
  <c r="C31" i="9" s="1"/>
  <c r="C36" i="9" s="1"/>
  <c r="C5" i="14" s="1"/>
  <c r="G11" i="8"/>
  <c r="H23" i="8" s="1"/>
  <c r="I23" i="8" s="1"/>
  <c r="H11" i="8"/>
  <c r="H24" i="8" s="1"/>
  <c r="I24" i="8" s="1"/>
</calcChain>
</file>

<file path=xl/comments1.xml><?xml version="1.0" encoding="utf-8"?>
<comments xmlns="http://schemas.openxmlformats.org/spreadsheetml/2006/main">
  <authors>
    <author>Andy Bell</author>
  </authors>
  <commentList>
    <comment ref="F5" authorId="0" shapeId="0">
      <text>
        <r>
          <rPr>
            <b/>
            <sz val="9"/>
            <color indexed="81"/>
            <rFont val="Tahoma"/>
            <family val="2"/>
          </rPr>
          <t>Links to "Standard Cables"</t>
        </r>
        <r>
          <rPr>
            <sz val="9"/>
            <color indexed="81"/>
            <rFont val="Tahoma"/>
            <family val="2"/>
          </rPr>
          <t xml:space="preserve">
</t>
        </r>
      </text>
    </comment>
    <comment ref="G5" authorId="0" shapeId="0">
      <text>
        <r>
          <rPr>
            <b/>
            <sz val="9"/>
            <color indexed="81"/>
            <rFont val="Tahoma"/>
            <family val="2"/>
          </rPr>
          <t>Links to "Standard Cables"</t>
        </r>
      </text>
    </comment>
    <comment ref="H5" authorId="0" shapeId="0">
      <text>
        <r>
          <rPr>
            <b/>
            <sz val="9"/>
            <color indexed="81"/>
            <rFont val="Tahoma"/>
            <family val="2"/>
          </rPr>
          <t>Links to "Standard Cables"</t>
        </r>
      </text>
    </comment>
    <comment ref="I5" authorId="0" shapeId="0">
      <text>
        <r>
          <rPr>
            <b/>
            <sz val="9"/>
            <color indexed="81"/>
            <rFont val="Tahoma"/>
            <family val="2"/>
          </rPr>
          <t>Links to "Standard Cables"</t>
        </r>
        <r>
          <rPr>
            <sz val="9"/>
            <color indexed="81"/>
            <rFont val="Tahoma"/>
            <family val="2"/>
          </rPr>
          <t xml:space="preserve">
</t>
        </r>
      </text>
    </comment>
    <comment ref="B8" authorId="0" shapeId="0">
      <text>
        <r>
          <rPr>
            <b/>
            <sz val="9"/>
            <color indexed="81"/>
            <rFont val="Tahoma"/>
            <family val="2"/>
          </rPr>
          <t>Links to "Truck on Earth"</t>
        </r>
        <r>
          <rPr>
            <sz val="9"/>
            <color indexed="81"/>
            <rFont val="Tahoma"/>
            <family val="2"/>
          </rPr>
          <t xml:space="preserve">
</t>
        </r>
      </text>
    </comment>
    <comment ref="F11" authorId="0" shapeId="0">
      <text>
        <r>
          <rPr>
            <b/>
            <sz val="9"/>
            <color indexed="81"/>
            <rFont val="Tahoma"/>
            <family val="2"/>
          </rPr>
          <t>Links to "Standard Cables"</t>
        </r>
        <r>
          <rPr>
            <sz val="9"/>
            <color indexed="81"/>
            <rFont val="Tahoma"/>
            <family val="2"/>
          </rPr>
          <t xml:space="preserve">
</t>
        </r>
      </text>
    </comment>
    <comment ref="G11" authorId="0" shapeId="0">
      <text>
        <r>
          <rPr>
            <b/>
            <sz val="9"/>
            <color indexed="81"/>
            <rFont val="Tahoma"/>
            <family val="2"/>
          </rPr>
          <t>Links to "Standard Cables"</t>
        </r>
        <r>
          <rPr>
            <sz val="9"/>
            <color indexed="81"/>
            <rFont val="Tahoma"/>
            <family val="2"/>
          </rPr>
          <t xml:space="preserve">
</t>
        </r>
      </text>
    </comment>
    <comment ref="H11" authorId="0" shapeId="0">
      <text>
        <r>
          <rPr>
            <b/>
            <sz val="9"/>
            <color indexed="81"/>
            <rFont val="Tahoma"/>
            <family val="2"/>
          </rPr>
          <t>Links to "Standard Cables"</t>
        </r>
        <r>
          <rPr>
            <sz val="9"/>
            <color indexed="81"/>
            <rFont val="Tahoma"/>
            <family val="2"/>
          </rPr>
          <t xml:space="preserve">
</t>
        </r>
      </text>
    </comment>
    <comment ref="I11" authorId="0" shapeId="0">
      <text>
        <r>
          <rPr>
            <b/>
            <sz val="9"/>
            <color indexed="81"/>
            <rFont val="Tahoma"/>
            <family val="2"/>
          </rPr>
          <t>Links to "Standard Cables"</t>
        </r>
        <r>
          <rPr>
            <sz val="9"/>
            <color indexed="81"/>
            <rFont val="Tahoma"/>
            <family val="2"/>
          </rPr>
          <t xml:space="preserve">
</t>
        </r>
      </text>
    </comment>
    <comment ref="B14" authorId="0" shapeId="0">
      <text>
        <r>
          <rPr>
            <b/>
            <sz val="9"/>
            <color indexed="81"/>
            <rFont val="Tahoma"/>
            <family val="2"/>
          </rPr>
          <t>Links to "Temp"</t>
        </r>
        <r>
          <rPr>
            <sz val="9"/>
            <color indexed="81"/>
            <rFont val="Tahoma"/>
            <family val="2"/>
          </rPr>
          <t xml:space="preserve">
</t>
        </r>
      </text>
    </comment>
    <comment ref="B25" authorId="0" shapeId="0">
      <text>
        <r>
          <rPr>
            <b/>
            <sz val="9"/>
            <color indexed="81"/>
            <rFont val="Tahoma"/>
            <family val="2"/>
          </rPr>
          <t>Links to "Temp"</t>
        </r>
        <r>
          <rPr>
            <sz val="9"/>
            <color indexed="81"/>
            <rFont val="Tahoma"/>
            <family val="2"/>
          </rPr>
          <t xml:space="preserve">
</t>
        </r>
      </text>
    </comment>
    <comment ref="B26" authorId="0" shapeId="0">
      <text>
        <r>
          <rPr>
            <b/>
            <sz val="9"/>
            <color indexed="81"/>
            <rFont val="Tahoma"/>
            <family val="2"/>
          </rPr>
          <t>Links to "Temp"</t>
        </r>
        <r>
          <rPr>
            <sz val="9"/>
            <color indexed="81"/>
            <rFont val="Tahoma"/>
            <family val="2"/>
          </rPr>
          <t xml:space="preserve">
</t>
        </r>
      </text>
    </comment>
    <comment ref="B27" authorId="0" shapeId="0">
      <text>
        <r>
          <rPr>
            <b/>
            <sz val="9"/>
            <color indexed="81"/>
            <rFont val="Tahoma"/>
            <family val="2"/>
          </rPr>
          <t>Links to "Temp"</t>
        </r>
        <r>
          <rPr>
            <sz val="9"/>
            <color indexed="81"/>
            <rFont val="Tahoma"/>
            <family val="2"/>
          </rPr>
          <t xml:space="preserve">
</t>
        </r>
      </text>
    </comment>
    <comment ref="B29" authorId="0" shapeId="0">
      <text>
        <r>
          <rPr>
            <b/>
            <sz val="9"/>
            <color indexed="81"/>
            <rFont val="Tahoma"/>
            <family val="2"/>
          </rPr>
          <t>Links to "Buckle"</t>
        </r>
        <r>
          <rPr>
            <sz val="9"/>
            <color indexed="81"/>
            <rFont val="Tahoma"/>
            <family val="2"/>
          </rPr>
          <t xml:space="preserve">
</t>
        </r>
      </text>
    </comment>
  </commentList>
</comments>
</file>

<file path=xl/comments2.xml><?xml version="1.0" encoding="utf-8"?>
<comments xmlns="http://schemas.openxmlformats.org/spreadsheetml/2006/main">
  <authors>
    <author>Andy Bell</author>
  </authors>
  <commentList>
    <comment ref="U1" authorId="0" shapeId="0">
      <text>
        <r>
          <rPr>
            <b/>
            <sz val="9"/>
            <color indexed="81"/>
            <rFont val="Tahoma"/>
            <family val="2"/>
          </rPr>
          <t>Linked from "Initial"</t>
        </r>
        <r>
          <rPr>
            <sz val="9"/>
            <color indexed="81"/>
            <rFont val="Tahoma"/>
            <family val="2"/>
          </rPr>
          <t xml:space="preserve">
</t>
        </r>
      </text>
    </comment>
  </commentList>
</comments>
</file>

<file path=xl/comments3.xml><?xml version="1.0" encoding="utf-8"?>
<comments xmlns="http://schemas.openxmlformats.org/spreadsheetml/2006/main">
  <authors>
    <author>Andy Bell</author>
  </authors>
  <commentList>
    <comment ref="B25" authorId="0" shapeId="0">
      <text>
        <r>
          <rPr>
            <b/>
            <sz val="9"/>
            <color indexed="81"/>
            <rFont val="Tahoma"/>
            <family val="2"/>
          </rPr>
          <t>Linked from "Initial"</t>
        </r>
        <r>
          <rPr>
            <sz val="9"/>
            <color indexed="81"/>
            <rFont val="Tahoma"/>
            <family val="2"/>
          </rPr>
          <t xml:space="preserve">
</t>
        </r>
      </text>
    </comment>
  </commentList>
</comments>
</file>

<file path=xl/comments4.xml><?xml version="1.0" encoding="utf-8"?>
<comments xmlns="http://schemas.openxmlformats.org/spreadsheetml/2006/main">
  <authors>
    <author>Andy Bell</author>
  </authors>
  <commentList>
    <comment ref="D2" authorId="0" shapeId="0">
      <text>
        <r>
          <rPr>
            <b/>
            <sz val="9"/>
            <color indexed="81"/>
            <rFont val="Tahoma"/>
            <family val="2"/>
          </rPr>
          <t>Linked from "Initial"</t>
        </r>
        <r>
          <rPr>
            <sz val="9"/>
            <color indexed="81"/>
            <rFont val="Tahoma"/>
            <family val="2"/>
          </rPr>
          <t xml:space="preserve">
</t>
        </r>
      </text>
    </comment>
    <comment ref="D4" authorId="0" shapeId="0">
      <text>
        <r>
          <rPr>
            <b/>
            <sz val="9"/>
            <color indexed="81"/>
            <rFont val="Tahoma"/>
            <family val="2"/>
          </rPr>
          <t>Linked from "Initial"</t>
        </r>
      </text>
    </comment>
    <comment ref="D7" authorId="0" shapeId="0">
      <text>
        <r>
          <rPr>
            <b/>
            <sz val="9"/>
            <color indexed="81"/>
            <rFont val="Tahoma"/>
            <family val="2"/>
          </rPr>
          <t>Linked from "Initial"</t>
        </r>
        <r>
          <rPr>
            <sz val="9"/>
            <color indexed="81"/>
            <rFont val="Tahoma"/>
            <family val="2"/>
          </rPr>
          <t xml:space="preserve">
</t>
        </r>
      </text>
    </comment>
    <comment ref="D13" authorId="0" shapeId="0">
      <text>
        <r>
          <rPr>
            <b/>
            <sz val="9"/>
            <color indexed="81"/>
            <rFont val="Tahoma"/>
            <family val="2"/>
          </rPr>
          <t>Linked from "Initial"</t>
        </r>
        <r>
          <rPr>
            <sz val="9"/>
            <color indexed="81"/>
            <rFont val="Tahoma"/>
            <family val="2"/>
          </rPr>
          <t xml:space="preserve">
</t>
        </r>
      </text>
    </comment>
  </commentList>
</comments>
</file>

<file path=xl/comments5.xml><?xml version="1.0" encoding="utf-8"?>
<comments xmlns="http://schemas.openxmlformats.org/spreadsheetml/2006/main">
  <authors>
    <author>Andy Bell</author>
  </authors>
  <commentList>
    <comment ref="F5" authorId="0" shapeId="0">
      <text>
        <r>
          <rPr>
            <b/>
            <sz val="9"/>
            <color indexed="81"/>
            <rFont val="Tahoma"/>
            <family val="2"/>
          </rPr>
          <t xml:space="preserve">Links to "Standard Cables"
</t>
        </r>
      </text>
    </comment>
    <comment ref="G5" authorId="0" shapeId="0">
      <text>
        <r>
          <rPr>
            <b/>
            <sz val="9"/>
            <color indexed="81"/>
            <rFont val="Tahoma"/>
            <family val="2"/>
          </rPr>
          <t xml:space="preserve">Links to "Standard Cables"
</t>
        </r>
        <r>
          <rPr>
            <sz val="9"/>
            <color indexed="81"/>
            <rFont val="Tahoma"/>
            <family val="2"/>
          </rPr>
          <t xml:space="preserve">
</t>
        </r>
      </text>
    </comment>
    <comment ref="H5" authorId="0" shapeId="0">
      <text>
        <r>
          <rPr>
            <b/>
            <sz val="9"/>
            <color indexed="81"/>
            <rFont val="Tahoma"/>
            <family val="2"/>
          </rPr>
          <t xml:space="preserve">Links to "Standard Cables"
</t>
        </r>
        <r>
          <rPr>
            <sz val="9"/>
            <color indexed="81"/>
            <rFont val="Tahoma"/>
            <family val="2"/>
          </rPr>
          <t xml:space="preserve">
</t>
        </r>
      </text>
    </comment>
    <comment ref="I5" authorId="0" shapeId="0">
      <text>
        <r>
          <rPr>
            <b/>
            <sz val="9"/>
            <color indexed="81"/>
            <rFont val="Tahoma"/>
            <family val="2"/>
          </rPr>
          <t xml:space="preserve">Links to "Standard Cables"
</t>
        </r>
        <r>
          <rPr>
            <sz val="9"/>
            <color indexed="81"/>
            <rFont val="Tahoma"/>
            <family val="2"/>
          </rPr>
          <t xml:space="preserve">
</t>
        </r>
      </text>
    </comment>
    <comment ref="B9" authorId="0" shapeId="0">
      <text>
        <r>
          <rPr>
            <b/>
            <sz val="9"/>
            <color indexed="81"/>
            <rFont val="Tahoma"/>
            <family val="2"/>
          </rPr>
          <t>Linked from "Mission Selection"</t>
        </r>
        <r>
          <rPr>
            <sz val="9"/>
            <color indexed="81"/>
            <rFont val="Tahoma"/>
            <family val="2"/>
          </rPr>
          <t xml:space="preserve">
</t>
        </r>
      </text>
    </comment>
    <comment ref="B10" authorId="0" shapeId="0">
      <text>
        <r>
          <rPr>
            <b/>
            <sz val="9"/>
            <color indexed="81"/>
            <rFont val="Tahoma"/>
            <family val="2"/>
          </rPr>
          <t>Links to "Truck on Planet"</t>
        </r>
        <r>
          <rPr>
            <sz val="9"/>
            <color indexed="81"/>
            <rFont val="Tahoma"/>
            <family val="2"/>
          </rPr>
          <t xml:space="preserve">
</t>
        </r>
      </text>
    </comment>
    <comment ref="F11" authorId="0" shapeId="0">
      <text>
        <r>
          <rPr>
            <b/>
            <sz val="9"/>
            <color indexed="81"/>
            <rFont val="Tahoma"/>
            <family val="2"/>
          </rPr>
          <t xml:space="preserve">Links to "Standard Cables"
</t>
        </r>
        <r>
          <rPr>
            <sz val="9"/>
            <color indexed="81"/>
            <rFont val="Tahoma"/>
            <family val="2"/>
          </rPr>
          <t xml:space="preserve">
</t>
        </r>
      </text>
    </comment>
    <comment ref="G11" authorId="0" shapeId="0">
      <text>
        <r>
          <rPr>
            <b/>
            <sz val="9"/>
            <color indexed="81"/>
            <rFont val="Tahoma"/>
            <family val="2"/>
          </rPr>
          <t xml:space="preserve">Links to "Standard Cables"
</t>
        </r>
        <r>
          <rPr>
            <sz val="9"/>
            <color indexed="81"/>
            <rFont val="Tahoma"/>
            <family val="2"/>
          </rPr>
          <t xml:space="preserve">
</t>
        </r>
      </text>
    </comment>
    <comment ref="H11" authorId="0" shapeId="0">
      <text>
        <r>
          <rPr>
            <b/>
            <sz val="9"/>
            <color indexed="81"/>
            <rFont val="Tahoma"/>
            <family val="2"/>
          </rPr>
          <t xml:space="preserve">Links to "Standard Cables"
</t>
        </r>
        <r>
          <rPr>
            <sz val="9"/>
            <color indexed="81"/>
            <rFont val="Tahoma"/>
            <family val="2"/>
          </rPr>
          <t xml:space="preserve">
</t>
        </r>
      </text>
    </comment>
    <comment ref="I11" authorId="0" shapeId="0">
      <text>
        <r>
          <rPr>
            <b/>
            <sz val="9"/>
            <color indexed="81"/>
            <rFont val="Tahoma"/>
            <family val="2"/>
          </rPr>
          <t xml:space="preserve">Links to "Standard Cables"
</t>
        </r>
        <r>
          <rPr>
            <sz val="9"/>
            <color indexed="81"/>
            <rFont val="Tahoma"/>
            <family val="2"/>
          </rPr>
          <t xml:space="preserve">
</t>
        </r>
      </text>
    </comment>
  </commentList>
</comments>
</file>

<file path=xl/comments6.xml><?xml version="1.0" encoding="utf-8"?>
<comments xmlns="http://schemas.openxmlformats.org/spreadsheetml/2006/main">
  <authors>
    <author>Andy Bell</author>
  </authors>
  <commentList>
    <comment ref="U1" authorId="0" shapeId="0">
      <text>
        <r>
          <rPr>
            <b/>
            <sz val="9"/>
            <color indexed="81"/>
            <rFont val="Tahoma"/>
            <family val="2"/>
          </rPr>
          <t>Linked from "Planet Design"</t>
        </r>
        <r>
          <rPr>
            <sz val="9"/>
            <color indexed="81"/>
            <rFont val="Tahoma"/>
            <family val="2"/>
          </rPr>
          <t xml:space="preserve">
</t>
        </r>
      </text>
    </comment>
  </commentList>
</comments>
</file>

<file path=xl/sharedStrings.xml><?xml version="1.0" encoding="utf-8"?>
<sst xmlns="http://schemas.openxmlformats.org/spreadsheetml/2006/main" count="700" uniqueCount="388">
  <si>
    <t>lbs</t>
  </si>
  <si>
    <t>Al =</t>
  </si>
  <si>
    <t>Cu =</t>
  </si>
  <si>
    <t>Steel =</t>
  </si>
  <si>
    <t>Titanium =</t>
  </si>
  <si>
    <t>Given =</t>
  </si>
  <si>
    <t>ft</t>
  </si>
  <si>
    <t>no plastic deformation</t>
  </si>
  <si>
    <t>all materials cost the same</t>
  </si>
  <si>
    <t>ignore cost of material</t>
  </si>
  <si>
    <t>ignore weight of structure</t>
  </si>
  <si>
    <t>Assumptions</t>
  </si>
  <si>
    <t>max final length =</t>
  </si>
  <si>
    <t>PSI</t>
  </si>
  <si>
    <r>
      <t xml:space="preserve">E = </t>
    </r>
    <r>
      <rPr>
        <sz val="11"/>
        <color indexed="8"/>
        <rFont val="Symbol"/>
        <family val="1"/>
        <charset val="2"/>
      </rPr>
      <t>s</t>
    </r>
    <r>
      <rPr>
        <sz val="11"/>
        <color theme="1"/>
        <rFont val="Calibri"/>
        <family val="2"/>
        <scheme val="minor"/>
      </rPr>
      <t>/</t>
    </r>
    <r>
      <rPr>
        <sz val="11"/>
        <color indexed="8"/>
        <rFont val="Symbol"/>
        <family val="1"/>
        <charset val="2"/>
      </rPr>
      <t>e</t>
    </r>
  </si>
  <si>
    <t xml:space="preserve">Vehicle weight = </t>
  </si>
  <si>
    <t>ton</t>
  </si>
  <si>
    <t>Cable size =</t>
  </si>
  <si>
    <t>Maximum Allowed elongation =</t>
  </si>
  <si>
    <t xml:space="preserve">Titanium </t>
  </si>
  <si>
    <t>Steel</t>
  </si>
  <si>
    <t>Copper</t>
  </si>
  <si>
    <t>Allowed Strain =</t>
  </si>
  <si>
    <t>Aluminum</t>
  </si>
  <si>
    <t>CSA =</t>
  </si>
  <si>
    <t>Cycles</t>
  </si>
  <si>
    <t>kPSI</t>
  </si>
  <si>
    <t>Design</t>
  </si>
  <si>
    <t>cycles =</t>
  </si>
  <si>
    <t>Al stress =</t>
  </si>
  <si>
    <t>Steel stress =</t>
  </si>
  <si>
    <t>a =</t>
  </si>
  <si>
    <t>b =</t>
  </si>
  <si>
    <t>m =</t>
  </si>
  <si>
    <t>Steel Buckle =</t>
  </si>
  <si>
    <t>Al Buckle =</t>
  </si>
  <si>
    <t>Buckle</t>
  </si>
  <si>
    <t>L =</t>
  </si>
  <si>
    <t>Initial T =</t>
  </si>
  <si>
    <t>T start =</t>
  </si>
  <si>
    <t>T cold =</t>
  </si>
  <si>
    <r>
      <rPr>
        <sz val="11"/>
        <color indexed="8"/>
        <rFont val="MS Reference Sans Serif"/>
        <family val="2"/>
      </rPr>
      <t>°</t>
    </r>
    <r>
      <rPr>
        <sz val="11"/>
        <color indexed="8"/>
        <rFont val="Calibri"/>
        <family val="2"/>
      </rPr>
      <t>C</t>
    </r>
  </si>
  <si>
    <r>
      <rPr>
        <sz val="11"/>
        <color indexed="8"/>
        <rFont val="MS Reference Sans Serif"/>
        <family val="2"/>
      </rPr>
      <t>°</t>
    </r>
    <r>
      <rPr>
        <sz val="11"/>
        <color indexed="8"/>
        <rFont val="Calibri"/>
        <family val="2"/>
      </rPr>
      <t>F</t>
    </r>
  </si>
  <si>
    <t>T hot =</t>
  </si>
  <si>
    <t>in</t>
  </si>
  <si>
    <t>ABS (Acrylonitrile butadiene styrene) thermoplastic</t>
  </si>
  <si>
    <t>ABS -glass fiber-reinforced</t>
  </si>
  <si>
    <t>Acetals</t>
  </si>
  <si>
    <t>Acetal - glass fiber-reinforced</t>
  </si>
  <si>
    <t>Acrylic, sheet, cast</t>
  </si>
  <si>
    <t>Acrylic, extruded</t>
  </si>
  <si>
    <t>Alumina</t>
  </si>
  <si>
    <t>Antimony</t>
  </si>
  <si>
    <t>Arsenic</t>
  </si>
  <si>
    <t>Barium</t>
  </si>
  <si>
    <t>Barium ferrite</t>
  </si>
  <si>
    <t>Benzocyclobutene</t>
  </si>
  <si>
    <t>Beryllium</t>
  </si>
  <si>
    <t>Bismuth</t>
  </si>
  <si>
    <t>Brass</t>
  </si>
  <si>
    <t>Brick masonry</t>
  </si>
  <si>
    <t>Bronze</t>
  </si>
  <si>
    <t>Cadmium</t>
  </si>
  <si>
    <t>Calcium</t>
  </si>
  <si>
    <t>Cast Iron Gray</t>
  </si>
  <si>
    <t>Cellulose acetate (CA)</t>
  </si>
  <si>
    <t>Cellulose acetate butynate (CAB)</t>
  </si>
  <si>
    <t>Cellulose nitrate (CN)</t>
  </si>
  <si>
    <t>Cement</t>
  </si>
  <si>
    <t>Cerium</t>
  </si>
  <si>
    <t>Chlorinated polyether</t>
  </si>
  <si>
    <t>Chlorinated polyvinylchloride (CPVC)</t>
  </si>
  <si>
    <t>Chromium</t>
  </si>
  <si>
    <t>Clay tile structure</t>
  </si>
  <si>
    <t>Cobalt</t>
  </si>
  <si>
    <t>Concrete</t>
  </si>
  <si>
    <t>Concrete structure</t>
  </si>
  <si>
    <t>Constantan</t>
  </si>
  <si>
    <t>Copper, Beryllium 25</t>
  </si>
  <si>
    <t>Corundum, sintered</t>
  </si>
  <si>
    <t>Cupronickel 30%</t>
  </si>
  <si>
    <t>Diamond (Carbon)</t>
  </si>
  <si>
    <t>Duralumin</t>
  </si>
  <si>
    <t>Dysprosium</t>
  </si>
  <si>
    <t>Ebonite</t>
  </si>
  <si>
    <t>Epoxy, cast resins &amp; compounds, unfilled</t>
  </si>
  <si>
    <t>Erbium</t>
  </si>
  <si>
    <t>Ethylene ethyl acrylate (EEA)</t>
  </si>
  <si>
    <t>Ethylene vinyl acetate (EVA)</t>
  </si>
  <si>
    <t>Europium</t>
  </si>
  <si>
    <t>Fluoroethylene propylene (FEP)</t>
  </si>
  <si>
    <t>Gadolinium</t>
  </si>
  <si>
    <t>Germanium</t>
  </si>
  <si>
    <t>German silver</t>
  </si>
  <si>
    <t>Glass, hard</t>
  </si>
  <si>
    <t>Glass, Pyrex</t>
  </si>
  <si>
    <t>Glass, plate</t>
  </si>
  <si>
    <t>Gold</t>
  </si>
  <si>
    <t>Granite</t>
  </si>
  <si>
    <t>Graphite, pure (Carbon)</t>
  </si>
  <si>
    <t>Gunmetal</t>
  </si>
  <si>
    <t>Hafnium</t>
  </si>
  <si>
    <t>Hard alloy K20</t>
  </si>
  <si>
    <t>Hastelloy C</t>
  </si>
  <si>
    <t>Holmium</t>
  </si>
  <si>
    <t>Ice, 0oC water</t>
  </si>
  <si>
    <t>Inconel</t>
  </si>
  <si>
    <t>Indium</t>
  </si>
  <si>
    <t>Invar</t>
  </si>
  <si>
    <t>Iridium</t>
  </si>
  <si>
    <t>Iron, pure</t>
  </si>
  <si>
    <t>Iron, cast</t>
  </si>
  <si>
    <t>Iron, forged</t>
  </si>
  <si>
    <t>Kapton</t>
  </si>
  <si>
    <t>Lanthanum</t>
  </si>
  <si>
    <t>Lead</t>
  </si>
  <si>
    <t>Limestone</t>
  </si>
  <si>
    <t>Lithium</t>
  </si>
  <si>
    <t>Lutetium</t>
  </si>
  <si>
    <t>Macor</t>
  </si>
  <si>
    <t>Magnesium</t>
  </si>
  <si>
    <t>Manganese</t>
  </si>
  <si>
    <t>Marble</t>
  </si>
  <si>
    <t>Masonry</t>
  </si>
  <si>
    <t>Mercury</t>
  </si>
  <si>
    <t>Mica</t>
  </si>
  <si>
    <t>Molybdenum</t>
  </si>
  <si>
    <t>Monel metal</t>
  </si>
  <si>
    <t>Mortar</t>
  </si>
  <si>
    <t>Neodymium</t>
  </si>
  <si>
    <t>Nickel</t>
  </si>
  <si>
    <t>Niobium (Columbium)</t>
  </si>
  <si>
    <t>Nylon, general purpose</t>
  </si>
  <si>
    <t>Nylon, Type 11, molding and extruding compound</t>
  </si>
  <si>
    <t>Nylon, Type 12, molding and extruding compound</t>
  </si>
  <si>
    <t>Nylon, Type 6, cast</t>
  </si>
  <si>
    <t>Nylon, Type 6/6, molding compound</t>
  </si>
  <si>
    <t>Oak, perpendicular to the grain</t>
  </si>
  <si>
    <t>Osmium</t>
  </si>
  <si>
    <t>Palladium</t>
  </si>
  <si>
    <t>Phenolic resin without fillers</t>
  </si>
  <si>
    <t>Phosphor bronze</t>
  </si>
  <si>
    <t>Plaster</t>
  </si>
  <si>
    <t>Plastics</t>
  </si>
  <si>
    <t>Platinum</t>
  </si>
  <si>
    <t>Plutonium</t>
  </si>
  <si>
    <t>Polyacrylonitrile</t>
  </si>
  <si>
    <t>Polyallomer</t>
  </si>
  <si>
    <t>Polyamide (PA)</t>
  </si>
  <si>
    <t>Polybutylene (PB)</t>
  </si>
  <si>
    <t>Polycarbonate (PC)</t>
  </si>
  <si>
    <t>Polycarbonate - glass fiber-reinforced</t>
  </si>
  <si>
    <t>Polyester</t>
  </si>
  <si>
    <t>Polyester - glass fiber-reinforced</t>
  </si>
  <si>
    <t>Polyethylene (PE)</t>
  </si>
  <si>
    <t>Polyethylene (PE) - High Molecular Weight</t>
  </si>
  <si>
    <t>Polyethylene terephthalate (PET)</t>
  </si>
  <si>
    <t>Polyphenylene - glass fiber-reinforced</t>
  </si>
  <si>
    <t>Polypropylene (PP), unfilled</t>
  </si>
  <si>
    <t>Polypropylene - glass fiber-reinforced</t>
  </si>
  <si>
    <t>Polystyrene (PS)</t>
  </si>
  <si>
    <t>Polysulfone (PSO)</t>
  </si>
  <si>
    <t>Polyurethane (PUR), rigid</t>
  </si>
  <si>
    <t>Polyvinyl chloride (PVC)</t>
  </si>
  <si>
    <t>Polyvinylidene fluoride (PVDF)</t>
  </si>
  <si>
    <t>Porcelain, Industrial</t>
  </si>
  <si>
    <t>Potassium</t>
  </si>
  <si>
    <t>Praseodymium</t>
  </si>
  <si>
    <t>Promethium</t>
  </si>
  <si>
    <t>Quartz</t>
  </si>
  <si>
    <t>Rhenium</t>
  </si>
  <si>
    <t>Rhodium</t>
  </si>
  <si>
    <t>Rubber, hard</t>
  </si>
  <si>
    <t>Ruthenium</t>
  </si>
  <si>
    <t>Samarium</t>
  </si>
  <si>
    <t>Sandstone</t>
  </si>
  <si>
    <t>Sapphire</t>
  </si>
  <si>
    <t>Scandium</t>
  </si>
  <si>
    <t>Selenium</t>
  </si>
  <si>
    <t>Silicon</t>
  </si>
  <si>
    <t>Silicon Carbide</t>
  </si>
  <si>
    <t>Silver</t>
  </si>
  <si>
    <t>Sitall</t>
  </si>
  <si>
    <t>Slate</t>
  </si>
  <si>
    <t>Sodium</t>
  </si>
  <si>
    <t>Solder lead - tin, 50% - 50%</t>
  </si>
  <si>
    <t>Steatite</t>
  </si>
  <si>
    <t>Steel Stainless Austenitic (304)</t>
  </si>
  <si>
    <t>Steel Stainless Austenitic (310)</t>
  </si>
  <si>
    <t>Steel Stainless Austenitic (316)</t>
  </si>
  <si>
    <t>Steel Stainless Ferritic (410)</t>
  </si>
  <si>
    <t>Strontium</t>
  </si>
  <si>
    <t>Tantalum</t>
  </si>
  <si>
    <t>Tellurium</t>
  </si>
  <si>
    <t>Terbium</t>
  </si>
  <si>
    <t>Terne</t>
  </si>
  <si>
    <t>Thallium</t>
  </si>
  <si>
    <t>Thorium</t>
  </si>
  <si>
    <t>Thulium</t>
  </si>
  <si>
    <t>Tin</t>
  </si>
  <si>
    <t>Titanium</t>
  </si>
  <si>
    <t>Tungsten</t>
  </si>
  <si>
    <t>Uranium</t>
  </si>
  <si>
    <t>Vanadium</t>
  </si>
  <si>
    <t>Vinyl Ester</t>
  </si>
  <si>
    <t>Wood, fir</t>
  </si>
  <si>
    <t>Wood, parallel to grain</t>
  </si>
  <si>
    <t>Wood, across (perpendicular) to grain</t>
  </si>
  <si>
    <t>Wood, pine</t>
  </si>
  <si>
    <t>Ytterbium</t>
  </si>
  <si>
    <t>Yttrium</t>
  </si>
  <si>
    <t>Zinc</t>
  </si>
  <si>
    <t>Zirconium</t>
  </si>
  <si>
    <r>
      <t>10</t>
    </r>
    <r>
      <rPr>
        <vertAlign val="superscript"/>
        <sz val="11"/>
        <color indexed="8"/>
        <rFont val="Calibri"/>
        <family val="2"/>
      </rPr>
      <t>-6</t>
    </r>
    <r>
      <rPr>
        <sz val="11"/>
        <color theme="1"/>
        <rFont val="Calibri"/>
        <family val="2"/>
        <scheme val="minor"/>
      </rPr>
      <t xml:space="preserve"> in/in </t>
    </r>
    <r>
      <rPr>
        <sz val="11"/>
        <color indexed="8"/>
        <rFont val="MS Reference Sans Serif"/>
        <family val="2"/>
      </rPr>
      <t>°</t>
    </r>
    <r>
      <rPr>
        <sz val="11"/>
        <color theme="1"/>
        <rFont val="Calibri"/>
        <family val="2"/>
        <scheme val="minor"/>
      </rPr>
      <t>F</t>
    </r>
  </si>
  <si>
    <t>Cold T =</t>
  </si>
  <si>
    <t>Hot T =</t>
  </si>
  <si>
    <r>
      <t xml:space="preserve">Max </t>
    </r>
    <r>
      <rPr>
        <sz val="11"/>
        <color indexed="8"/>
        <rFont val="Symbol"/>
        <family val="1"/>
        <charset val="2"/>
      </rPr>
      <t>D</t>
    </r>
    <r>
      <rPr>
        <sz val="11"/>
        <color theme="1"/>
        <rFont val="Calibri"/>
        <family val="2"/>
        <scheme val="minor"/>
      </rPr>
      <t>T =</t>
    </r>
  </si>
  <si>
    <t>Coefficients of Linear Thermal Expansion</t>
  </si>
  <si>
    <r>
      <rPr>
        <sz val="11"/>
        <color indexed="8"/>
        <rFont val="Symbol"/>
        <family val="1"/>
        <charset val="2"/>
      </rPr>
      <t>D</t>
    </r>
    <r>
      <rPr>
        <sz val="11"/>
        <color theme="1"/>
        <rFont val="Calibri"/>
        <family val="2"/>
        <scheme val="minor"/>
      </rPr>
      <t>L</t>
    </r>
    <r>
      <rPr>
        <vertAlign val="subscript"/>
        <sz val="11"/>
        <color indexed="8"/>
        <rFont val="Calibri"/>
        <family val="2"/>
      </rPr>
      <t xml:space="preserve">1 </t>
    </r>
    <r>
      <rPr>
        <sz val="11"/>
        <color theme="1"/>
        <rFont val="Calibri"/>
        <family val="2"/>
        <scheme val="minor"/>
      </rPr>
      <t>=</t>
    </r>
  </si>
  <si>
    <r>
      <rPr>
        <sz val="11"/>
        <color indexed="8"/>
        <rFont val="Symbol"/>
        <family val="1"/>
        <charset val="2"/>
      </rPr>
      <t>D</t>
    </r>
    <r>
      <rPr>
        <sz val="11"/>
        <color theme="1"/>
        <rFont val="Calibri"/>
        <family val="2"/>
        <scheme val="minor"/>
      </rPr>
      <t>L</t>
    </r>
    <r>
      <rPr>
        <vertAlign val="subscript"/>
        <sz val="11"/>
        <color indexed="8"/>
        <rFont val="Calibri"/>
        <family val="2"/>
      </rPr>
      <t>2</t>
    </r>
    <r>
      <rPr>
        <sz val="11"/>
        <color theme="1"/>
        <rFont val="Calibri"/>
        <family val="2"/>
        <scheme val="minor"/>
      </rPr>
      <t>=</t>
    </r>
  </si>
  <si>
    <r>
      <rPr>
        <sz val="11"/>
        <color indexed="8"/>
        <rFont val="Symbol"/>
        <family val="1"/>
        <charset val="2"/>
      </rPr>
      <t>a</t>
    </r>
    <r>
      <rPr>
        <vertAlign val="subscript"/>
        <sz val="11"/>
        <color indexed="8"/>
        <rFont val="Arial"/>
        <family val="2"/>
      </rPr>
      <t>1</t>
    </r>
    <r>
      <rPr>
        <vertAlign val="subscript"/>
        <sz val="11"/>
        <color indexed="8"/>
        <rFont val="Calibri"/>
        <family val="2"/>
      </rPr>
      <t xml:space="preserve"> </t>
    </r>
    <r>
      <rPr>
        <sz val="11"/>
        <color theme="1"/>
        <rFont val="Calibri"/>
        <family val="2"/>
        <scheme val="minor"/>
      </rPr>
      <t>=</t>
    </r>
  </si>
  <si>
    <r>
      <rPr>
        <sz val="11"/>
        <color indexed="8"/>
        <rFont val="Symbol"/>
        <family val="1"/>
        <charset val="2"/>
      </rPr>
      <t>a</t>
    </r>
    <r>
      <rPr>
        <vertAlign val="subscript"/>
        <sz val="11"/>
        <color indexed="8"/>
        <rFont val="Symbol"/>
        <family val="1"/>
        <charset val="2"/>
      </rPr>
      <t>2</t>
    </r>
    <r>
      <rPr>
        <vertAlign val="subscript"/>
        <sz val="11"/>
        <color indexed="8"/>
        <rFont val="Calibri"/>
        <family val="2"/>
      </rPr>
      <t xml:space="preserve"> </t>
    </r>
    <r>
      <rPr>
        <sz val="11"/>
        <color theme="1"/>
        <rFont val="Calibri"/>
        <family val="2"/>
        <scheme val="minor"/>
      </rPr>
      <t>=</t>
    </r>
  </si>
  <si>
    <t>Mass (kg)</t>
  </si>
  <si>
    <t>Gravitational Constant =</t>
  </si>
  <si>
    <t>Diameter (km)</t>
  </si>
  <si>
    <r>
      <t>Gravity (m/s</t>
    </r>
    <r>
      <rPr>
        <vertAlign val="superscript"/>
        <sz val="11"/>
        <color indexed="8"/>
        <rFont val="Calibri"/>
        <family val="2"/>
      </rPr>
      <t>2</t>
    </r>
    <r>
      <rPr>
        <sz val="11"/>
        <color theme="1"/>
        <rFont val="Calibri"/>
        <family val="2"/>
        <scheme val="minor"/>
      </rPr>
      <t>)</t>
    </r>
  </si>
  <si>
    <t>F</t>
  </si>
  <si>
    <t>Venus</t>
  </si>
  <si>
    <t>Earth</t>
  </si>
  <si>
    <t>Moon</t>
  </si>
  <si>
    <t>Mars</t>
  </si>
  <si>
    <t>Jupiter</t>
  </si>
  <si>
    <t>Sarurn</t>
  </si>
  <si>
    <t>Uranus</t>
  </si>
  <si>
    <t>Neptune</t>
  </si>
  <si>
    <t>Pluto</t>
  </si>
  <si>
    <t>Bronze, Alum.</t>
  </si>
  <si>
    <t>Gun Metal (Aver.)</t>
  </si>
  <si>
    <t>Iron</t>
  </si>
  <si>
    <t>Iron, Cast Grey</t>
  </si>
  <si>
    <t>Iron, Wrought</t>
  </si>
  <si>
    <t>Iron, Slag</t>
  </si>
  <si>
    <t>Monel Metal</t>
  </si>
  <si>
    <t>Stainless Steel (18-8)</t>
  </si>
  <si>
    <t>Planet =</t>
  </si>
  <si>
    <t>Cost to launch per pound =</t>
  </si>
  <si>
    <t>$/lb</t>
  </si>
  <si>
    <t xml:space="preserve">Vehicle weight on Planet= </t>
  </si>
  <si>
    <t xml:space="preserve">Vehicle weight on Earth = </t>
  </si>
  <si>
    <t>http://www.livescience.com/33356-weight-on-planets-mars-moon.html</t>
  </si>
  <si>
    <t>http://nssdc.gsfc.nasa.gov/planetary/factsheet/index.html</t>
  </si>
  <si>
    <r>
      <t>lbs/ft</t>
    </r>
    <r>
      <rPr>
        <vertAlign val="superscript"/>
        <sz val="11"/>
        <color indexed="8"/>
        <rFont val="Calibri"/>
        <family val="2"/>
      </rPr>
      <t>3</t>
    </r>
  </si>
  <si>
    <t>Material</t>
  </si>
  <si>
    <t>Cable Size</t>
  </si>
  <si>
    <r>
      <t>Min Temp (</t>
    </r>
    <r>
      <rPr>
        <sz val="11"/>
        <color indexed="8"/>
        <rFont val="MS Reference Sans Serif"/>
        <family val="2"/>
      </rPr>
      <t>°</t>
    </r>
    <r>
      <rPr>
        <sz val="11"/>
        <color indexed="8"/>
        <rFont val="Calibri"/>
        <family val="2"/>
      </rPr>
      <t>C)</t>
    </r>
  </si>
  <si>
    <t>Max Temp (°C)</t>
  </si>
  <si>
    <t>Average Temp  (°C)</t>
  </si>
  <si>
    <t>Source</t>
  </si>
  <si>
    <t>length =</t>
  </si>
  <si>
    <r>
      <t>ft</t>
    </r>
    <r>
      <rPr>
        <vertAlign val="superscript"/>
        <sz val="11"/>
        <color indexed="8"/>
        <rFont val="Calibri"/>
        <family val="2"/>
      </rPr>
      <t>3</t>
    </r>
  </si>
  <si>
    <t>=</t>
  </si>
  <si>
    <r>
      <t>in</t>
    </r>
    <r>
      <rPr>
        <vertAlign val="superscript"/>
        <sz val="11"/>
        <color indexed="8"/>
        <rFont val="Calibri"/>
        <family val="2"/>
      </rPr>
      <t>3</t>
    </r>
  </si>
  <si>
    <r>
      <t>lbs/in</t>
    </r>
    <r>
      <rPr>
        <vertAlign val="superscript"/>
        <sz val="11"/>
        <color indexed="8"/>
        <rFont val="Calibri"/>
        <family val="2"/>
      </rPr>
      <t>3</t>
    </r>
  </si>
  <si>
    <t>Length =</t>
  </si>
  <si>
    <r>
      <rPr>
        <sz val="11"/>
        <color indexed="8"/>
        <rFont val="Symbol"/>
        <family val="1"/>
        <charset val="2"/>
      </rPr>
      <t>a</t>
    </r>
    <r>
      <rPr>
        <sz val="11"/>
        <color theme="1"/>
        <rFont val="Calibri"/>
        <family val="2"/>
        <scheme val="minor"/>
      </rPr>
      <t xml:space="preserve"> =</t>
    </r>
  </si>
  <si>
    <t>°</t>
  </si>
  <si>
    <r>
      <t>F</t>
    </r>
    <r>
      <rPr>
        <vertAlign val="subscript"/>
        <sz val="11"/>
        <color indexed="8"/>
        <rFont val="Calibri"/>
        <family val="2"/>
      </rPr>
      <t>B</t>
    </r>
    <r>
      <rPr>
        <sz val="11"/>
        <color theme="1"/>
        <rFont val="Calibri"/>
        <family val="2"/>
        <scheme val="minor"/>
      </rPr>
      <t xml:space="preserve"> =</t>
    </r>
  </si>
  <si>
    <t>i</t>
  </si>
  <si>
    <t>j</t>
  </si>
  <si>
    <t>k</t>
  </si>
  <si>
    <r>
      <t>r</t>
    </r>
    <r>
      <rPr>
        <vertAlign val="subscript"/>
        <sz val="11"/>
        <color indexed="8"/>
        <rFont val="Calibri"/>
        <family val="2"/>
      </rPr>
      <t>AB</t>
    </r>
    <r>
      <rPr>
        <sz val="11"/>
        <color theme="1"/>
        <rFont val="Calibri"/>
        <family val="2"/>
        <scheme val="minor"/>
      </rPr>
      <t xml:space="preserve"> =</t>
    </r>
  </si>
  <si>
    <t>W =</t>
  </si>
  <si>
    <t>lb</t>
  </si>
  <si>
    <t>Width =</t>
  </si>
  <si>
    <r>
      <rPr>
        <sz val="11"/>
        <color indexed="8"/>
        <rFont val="Symbol"/>
        <family val="1"/>
        <charset val="2"/>
      </rPr>
      <t>b</t>
    </r>
    <r>
      <rPr>
        <sz val="11"/>
        <color theme="1"/>
        <rFont val="Calibri"/>
        <family val="2"/>
        <scheme val="minor"/>
      </rPr>
      <t xml:space="preserve"> =</t>
    </r>
  </si>
  <si>
    <r>
      <t>F</t>
    </r>
    <r>
      <rPr>
        <vertAlign val="subscript"/>
        <sz val="11"/>
        <color indexed="8"/>
        <rFont val="Calibri"/>
        <family val="2"/>
      </rPr>
      <t>C</t>
    </r>
    <r>
      <rPr>
        <sz val="11"/>
        <color theme="1"/>
        <rFont val="Calibri"/>
        <family val="2"/>
        <scheme val="minor"/>
      </rPr>
      <t xml:space="preserve"> =</t>
    </r>
  </si>
  <si>
    <r>
      <t>r</t>
    </r>
    <r>
      <rPr>
        <vertAlign val="subscript"/>
        <sz val="11"/>
        <color indexed="8"/>
        <rFont val="Calibri"/>
        <family val="2"/>
      </rPr>
      <t>AC</t>
    </r>
    <r>
      <rPr>
        <sz val="11"/>
        <color theme="1"/>
        <rFont val="Calibri"/>
        <family val="2"/>
        <scheme val="minor"/>
      </rPr>
      <t xml:space="preserve"> =</t>
    </r>
  </si>
  <si>
    <r>
      <rPr>
        <sz val="11"/>
        <color indexed="8"/>
        <rFont val="Symbol"/>
        <family val="1"/>
        <charset val="2"/>
      </rPr>
      <t>S</t>
    </r>
    <r>
      <rPr>
        <sz val="11"/>
        <color theme="1"/>
        <rFont val="Calibri"/>
        <family val="2"/>
        <scheme val="minor"/>
      </rPr>
      <t>F</t>
    </r>
    <r>
      <rPr>
        <vertAlign val="subscript"/>
        <sz val="11"/>
        <color indexed="8"/>
        <rFont val="Calibri"/>
        <family val="2"/>
      </rPr>
      <t>x</t>
    </r>
    <r>
      <rPr>
        <sz val="11"/>
        <color theme="1"/>
        <rFont val="Calibri"/>
        <family val="2"/>
        <scheme val="minor"/>
      </rPr>
      <t xml:space="preserve"> =</t>
    </r>
  </si>
  <si>
    <r>
      <t>F</t>
    </r>
    <r>
      <rPr>
        <vertAlign val="subscript"/>
        <sz val="11"/>
        <color indexed="8"/>
        <rFont val="Calibri"/>
        <family val="2"/>
      </rPr>
      <t>B</t>
    </r>
  </si>
  <si>
    <r>
      <t>F</t>
    </r>
    <r>
      <rPr>
        <vertAlign val="subscript"/>
        <sz val="11"/>
        <color indexed="8"/>
        <rFont val="Calibri"/>
        <family val="2"/>
      </rPr>
      <t>C</t>
    </r>
  </si>
  <si>
    <r>
      <t>F</t>
    </r>
    <r>
      <rPr>
        <vertAlign val="subscript"/>
        <sz val="11"/>
        <color indexed="8"/>
        <rFont val="Calibri"/>
        <family val="2"/>
      </rPr>
      <t>D</t>
    </r>
  </si>
  <si>
    <r>
      <t>F</t>
    </r>
    <r>
      <rPr>
        <vertAlign val="subscript"/>
        <sz val="11"/>
        <color indexed="8"/>
        <rFont val="Calibri"/>
        <family val="2"/>
      </rPr>
      <t>E</t>
    </r>
  </si>
  <si>
    <t>Height =</t>
  </si>
  <si>
    <r>
      <t>F</t>
    </r>
    <r>
      <rPr>
        <vertAlign val="subscript"/>
        <sz val="11"/>
        <color indexed="8"/>
        <rFont val="Calibri"/>
        <family val="2"/>
      </rPr>
      <t>D</t>
    </r>
    <r>
      <rPr>
        <sz val="11"/>
        <color theme="1"/>
        <rFont val="Calibri"/>
        <family val="2"/>
        <scheme val="minor"/>
      </rPr>
      <t xml:space="preserve"> =</t>
    </r>
  </si>
  <si>
    <r>
      <t>r</t>
    </r>
    <r>
      <rPr>
        <vertAlign val="subscript"/>
        <sz val="11"/>
        <color indexed="8"/>
        <rFont val="Calibri"/>
        <family val="2"/>
      </rPr>
      <t>AD</t>
    </r>
    <r>
      <rPr>
        <sz val="11"/>
        <color theme="1"/>
        <rFont val="Calibri"/>
        <family val="2"/>
        <scheme val="minor"/>
      </rPr>
      <t xml:space="preserve"> =</t>
    </r>
  </si>
  <si>
    <r>
      <rPr>
        <sz val="11"/>
        <color indexed="8"/>
        <rFont val="Symbol"/>
        <family val="1"/>
        <charset val="2"/>
      </rPr>
      <t>S</t>
    </r>
    <r>
      <rPr>
        <sz val="11"/>
        <color theme="1"/>
        <rFont val="Calibri"/>
        <family val="2"/>
        <scheme val="minor"/>
      </rPr>
      <t>F</t>
    </r>
    <r>
      <rPr>
        <vertAlign val="subscript"/>
        <sz val="11"/>
        <color indexed="8"/>
        <rFont val="Calibri"/>
        <family val="2"/>
      </rPr>
      <t>y</t>
    </r>
    <r>
      <rPr>
        <sz val="11"/>
        <color theme="1"/>
        <rFont val="Calibri"/>
        <family val="2"/>
        <scheme val="minor"/>
      </rPr>
      <t xml:space="preserve"> =</t>
    </r>
  </si>
  <si>
    <r>
      <t>F</t>
    </r>
    <r>
      <rPr>
        <vertAlign val="subscript"/>
        <sz val="11"/>
        <color indexed="8"/>
        <rFont val="Calibri"/>
        <family val="2"/>
      </rPr>
      <t>E</t>
    </r>
    <r>
      <rPr>
        <sz val="11"/>
        <color theme="1"/>
        <rFont val="Calibri"/>
        <family val="2"/>
        <scheme val="minor"/>
      </rPr>
      <t xml:space="preserve"> =</t>
    </r>
  </si>
  <si>
    <r>
      <t>r</t>
    </r>
    <r>
      <rPr>
        <vertAlign val="subscript"/>
        <sz val="11"/>
        <color indexed="8"/>
        <rFont val="Calibri"/>
        <family val="2"/>
      </rPr>
      <t>AE</t>
    </r>
    <r>
      <rPr>
        <sz val="11"/>
        <color theme="1"/>
        <rFont val="Calibri"/>
        <family val="2"/>
        <scheme val="minor"/>
      </rPr>
      <t xml:space="preserve"> =</t>
    </r>
  </si>
  <si>
    <r>
      <rPr>
        <sz val="11"/>
        <color indexed="8"/>
        <rFont val="Symbol"/>
        <family val="1"/>
        <charset val="2"/>
      </rPr>
      <t>S</t>
    </r>
    <r>
      <rPr>
        <sz val="11"/>
        <color theme="1"/>
        <rFont val="Calibri"/>
        <family val="2"/>
        <scheme val="minor"/>
      </rPr>
      <t>F</t>
    </r>
    <r>
      <rPr>
        <vertAlign val="subscript"/>
        <sz val="11"/>
        <color indexed="8"/>
        <rFont val="Calibri"/>
        <family val="2"/>
      </rPr>
      <t>z</t>
    </r>
    <r>
      <rPr>
        <sz val="11"/>
        <color theme="1"/>
        <rFont val="Calibri"/>
        <family val="2"/>
        <scheme val="minor"/>
      </rPr>
      <t xml:space="preserve"> =</t>
    </r>
  </si>
  <si>
    <t>Platform Scale =</t>
  </si>
  <si>
    <t>Platform length =</t>
  </si>
  <si>
    <r>
      <rPr>
        <sz val="11"/>
        <color indexed="8"/>
        <rFont val="Symbol"/>
        <family val="1"/>
        <charset val="2"/>
      </rPr>
      <t>S</t>
    </r>
    <r>
      <rPr>
        <sz val="11"/>
        <color theme="1"/>
        <rFont val="Calibri"/>
        <family val="2"/>
        <scheme val="minor"/>
      </rPr>
      <t>F</t>
    </r>
    <r>
      <rPr>
        <vertAlign val="subscript"/>
        <sz val="11"/>
        <color indexed="8"/>
        <rFont val="Calibri"/>
        <family val="2"/>
      </rPr>
      <t>all</t>
    </r>
    <r>
      <rPr>
        <sz val="11"/>
        <color theme="1"/>
        <rFont val="Calibri"/>
        <family val="2"/>
        <scheme val="minor"/>
      </rPr>
      <t>=</t>
    </r>
  </si>
  <si>
    <t>Platformwidth=</t>
  </si>
  <si>
    <r>
      <t>F</t>
    </r>
    <r>
      <rPr>
        <vertAlign val="subscript"/>
        <sz val="11"/>
        <color indexed="8"/>
        <rFont val="Calibri"/>
        <family val="2"/>
      </rPr>
      <t>all</t>
    </r>
    <r>
      <rPr>
        <sz val="11"/>
        <color theme="1"/>
        <rFont val="Calibri"/>
        <family val="2"/>
        <scheme val="minor"/>
      </rPr>
      <t>=</t>
    </r>
  </si>
  <si>
    <t>tie point above truck =</t>
  </si>
  <si>
    <t>x distance =</t>
  </si>
  <si>
    <t>y distance =</t>
  </si>
  <si>
    <t>z distance =</t>
  </si>
  <si>
    <t>Z adj =</t>
  </si>
  <si>
    <t>Drawing Scale =</t>
  </si>
  <si>
    <t>Size (in)</t>
  </si>
  <si>
    <r>
      <t>in</t>
    </r>
    <r>
      <rPr>
        <vertAlign val="superscript"/>
        <sz val="11"/>
        <color indexed="8"/>
        <rFont val="Calibri"/>
        <family val="2"/>
      </rPr>
      <t>3</t>
    </r>
  </si>
  <si>
    <t>Pick Cable 1 material =</t>
  </si>
  <si>
    <t>Pick Cable 2 material =</t>
  </si>
  <si>
    <t>Pick Planet =</t>
  </si>
  <si>
    <t>Planet picked is =</t>
  </si>
  <si>
    <t>Room Temp =</t>
  </si>
  <si>
    <t>Min Temp =</t>
  </si>
  <si>
    <t>Max Temp =</t>
  </si>
  <si>
    <t>Initial Design Temps</t>
  </si>
  <si>
    <r>
      <t xml:space="preserve">Max </t>
    </r>
    <r>
      <rPr>
        <sz val="11"/>
        <color indexed="8"/>
        <rFont val="Symbol"/>
        <family val="1"/>
        <charset val="2"/>
      </rPr>
      <t>D</t>
    </r>
    <r>
      <rPr>
        <sz val="11"/>
        <color theme="1"/>
        <rFont val="Calibri"/>
        <family val="2"/>
        <scheme val="minor"/>
      </rPr>
      <t xml:space="preserve"> Temp =</t>
    </r>
  </si>
  <si>
    <t>Cable Length =</t>
  </si>
  <si>
    <t>Pick Material 1 =</t>
  </si>
  <si>
    <t>Pick Material 2 =</t>
  </si>
  <si>
    <r>
      <rPr>
        <sz val="11"/>
        <color indexed="8"/>
        <rFont val="Symbol"/>
        <family val="1"/>
        <charset val="2"/>
      </rPr>
      <t>D</t>
    </r>
    <r>
      <rPr>
        <sz val="11"/>
        <color theme="1"/>
        <rFont val="Calibri"/>
        <family val="2"/>
        <scheme val="minor"/>
      </rPr>
      <t xml:space="preserve"> length for material 1 =</t>
    </r>
  </si>
  <si>
    <r>
      <rPr>
        <sz val="11"/>
        <color indexed="8"/>
        <rFont val="Symbol"/>
        <family val="1"/>
        <charset val="2"/>
      </rPr>
      <t>D</t>
    </r>
    <r>
      <rPr>
        <sz val="11"/>
        <color theme="1"/>
        <rFont val="Calibri"/>
        <family val="2"/>
        <scheme val="minor"/>
      </rPr>
      <t xml:space="preserve"> length for material 2 =</t>
    </r>
  </si>
  <si>
    <t>Relative 
to Earth</t>
  </si>
  <si>
    <t>Planet</t>
  </si>
  <si>
    <t>Calculated Relative 
to Earth</t>
  </si>
  <si>
    <t>Young's Modulus of Elasticity</t>
  </si>
  <si>
    <t>&lt; = Given</t>
  </si>
  <si>
    <t>Temp Co</t>
  </si>
  <si>
    <t>Platform width=</t>
  </si>
  <si>
    <t>buckle cycles =</t>
  </si>
  <si>
    <t>Force in platform cables =</t>
  </si>
  <si>
    <t>Vehicle weight =</t>
  </si>
  <si>
    <t>Main Cable Design</t>
  </si>
  <si>
    <t>Platform Cable Design</t>
  </si>
  <si>
    <r>
      <t>Vol (in</t>
    </r>
    <r>
      <rPr>
        <vertAlign val="superscript"/>
        <sz val="11"/>
        <color indexed="8"/>
        <rFont val="Calibri"/>
        <family val="2"/>
      </rPr>
      <t>3</t>
    </r>
    <r>
      <rPr>
        <sz val="11"/>
        <color theme="1"/>
        <rFont val="Calibri"/>
        <family val="2"/>
        <scheme val="minor"/>
      </rPr>
      <t>)</t>
    </r>
  </si>
  <si>
    <t>Main cable length  =</t>
  </si>
  <si>
    <t>Platform cable length =</t>
  </si>
  <si>
    <t>Number of platform cables =</t>
  </si>
  <si>
    <t>Main Cable</t>
  </si>
  <si>
    <t>Platform Cables</t>
  </si>
  <si>
    <t>Main Cable Volume =</t>
  </si>
  <si>
    <t>Main Cable Weight =</t>
  </si>
  <si>
    <t>Main Cable Volume for planet =</t>
  </si>
  <si>
    <t>Main Cable Weight for planet =</t>
  </si>
  <si>
    <t>Main Cable 1 weight on earth =</t>
  </si>
  <si>
    <t>Main Cable 2 weight on earth =</t>
  </si>
  <si>
    <t>Main Cable 1 weight on planet =</t>
  </si>
  <si>
    <t>Main Cable 2 weight on planet =</t>
  </si>
  <si>
    <t>Platform Cable Volume =</t>
  </si>
  <si>
    <t>Platfrom Cable Weight =</t>
  </si>
  <si>
    <t>Platfrom Cable Volume for planet =</t>
  </si>
  <si>
    <t>Platfrom Cable Weight for planet =</t>
  </si>
  <si>
    <t>Platform Cable 1 weight on earth =</t>
  </si>
  <si>
    <t>Platform Cable 2 weight on earth =</t>
  </si>
  <si>
    <t>Platform Cable 1 weight on planet =</t>
  </si>
  <si>
    <t>Platform Cable 2 weight on planet =</t>
  </si>
  <si>
    <t>Material 1 cost for launch =</t>
  </si>
  <si>
    <t>Material 1 cost for launch updated =</t>
  </si>
  <si>
    <t>Material 2 cost for launch =</t>
  </si>
  <si>
    <t>Material 2 cost for launch updated =</t>
  </si>
  <si>
    <t>Material 1 weight for launch =</t>
  </si>
  <si>
    <t>Material 1 weight for launch updated =</t>
  </si>
  <si>
    <t>Material 2weight for launch =</t>
  </si>
  <si>
    <t>Material 2 weight for launch updated =</t>
  </si>
  <si>
    <t>Platform thickness =</t>
  </si>
  <si>
    <t>platform thickness =</t>
  </si>
  <si>
    <t>Aluminum, 6061-T6</t>
  </si>
  <si>
    <t>Aluminum, 2024-T4</t>
  </si>
  <si>
    <t>Beryllium Copper</t>
  </si>
  <si>
    <t>Brass, 70-30</t>
  </si>
  <si>
    <t>Brass, cast</t>
  </si>
  <si>
    <t>Cork</t>
  </si>
  <si>
    <t>Glass, Soda</t>
  </si>
  <si>
    <t>Glass, Float</t>
  </si>
  <si>
    <t>Ice</t>
  </si>
  <si>
    <t>Iron, Cast - gray</t>
  </si>
  <si>
    <t>Iron, Cast</t>
  </si>
  <si>
    <t>Iron, Ductile</t>
  </si>
  <si>
    <t>Iron, Malleable</t>
  </si>
  <si>
    <t>Magnesium Alloy</t>
  </si>
  <si>
    <t>Nickel Silver</t>
  </si>
  <si>
    <t>Nickel Steel</t>
  </si>
  <si>
    <t>Polystyrene</t>
  </si>
  <si>
    <t>Phosphor Bronze</t>
  </si>
  <si>
    <t>Rubber</t>
  </si>
  <si>
    <t>Stainless Steel 18-8</t>
  </si>
  <si>
    <t>Steel, cast</t>
  </si>
  <si>
    <t>Steel, Cold-rolled</t>
  </si>
  <si>
    <t>Steel, high carbon</t>
  </si>
  <si>
    <t>Steel, mild</t>
  </si>
  <si>
    <t>Titanium (99.0 Ti)</t>
  </si>
  <si>
    <t>Wrought iron</t>
  </si>
  <si>
    <t>Z-nickel</t>
  </si>
  <si>
    <t>Poisson's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</si>
</sst>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0000"/>
    <numFmt numFmtId="166" formatCode="##0.000E+0"/>
    <numFmt numFmtId="167" formatCode="#,##0.000"/>
    <numFmt numFmtId="168" formatCode="&quot;$&quot;#,##0.00"/>
    <numFmt numFmtId="169" formatCode="0.0"/>
  </numFmts>
  <fonts count="31" x14ac:knownFonts="1">
    <font>
      <sz val="11"/>
      <color theme="1"/>
      <name val="Calibri"/>
      <family val="2"/>
      <scheme val="minor"/>
    </font>
    <font>
      <sz val="11"/>
      <color indexed="8"/>
      <name val="Symbol"/>
      <family val="1"/>
      <charset val="2"/>
    </font>
    <font>
      <sz val="11"/>
      <color indexed="8"/>
      <name val="MS Reference Sans Serif"/>
      <family val="2"/>
    </font>
    <font>
      <sz val="11"/>
      <color indexed="8"/>
      <name val="Calibri"/>
      <family val="2"/>
    </font>
    <font>
      <vertAlign val="subscript"/>
      <sz val="11"/>
      <color indexed="8"/>
      <name val="Arial"/>
      <family val="2"/>
    </font>
    <font>
      <vertAlign val="subscript"/>
      <sz val="11"/>
      <color indexed="8"/>
      <name val="Calibri"/>
      <family val="2"/>
    </font>
    <font>
      <vertAlign val="superscript"/>
      <sz val="11"/>
      <color indexed="8"/>
      <name val="Calibri"/>
      <family val="2"/>
    </font>
    <font>
      <vertAlign val="subscript"/>
      <sz val="11"/>
      <color indexed="8"/>
      <name val="Symbol"/>
      <family val="1"/>
      <charset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theme="1"/>
      <name val="Calibri"/>
      <family val="2"/>
    </font>
    <font>
      <b/>
      <u/>
      <sz val="11"/>
      <color theme="1"/>
      <name val="Calibri"/>
      <family val="2"/>
      <scheme val="minor"/>
    </font>
    <font>
      <sz val="11"/>
      <color theme="1"/>
      <name val="MS Reference Sans Serif"/>
      <family val="2"/>
    </font>
    <font>
      <sz val="9"/>
      <color indexed="81"/>
      <name val="Tahoma"/>
      <family val="2"/>
    </font>
    <font>
      <b/>
      <sz val="9"/>
      <color indexed="81"/>
      <name val="Tahoma"/>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rgb="FFFFFFCC"/>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rgb="FF0000CC"/>
      </left>
      <right style="medium">
        <color rgb="FF0000CC"/>
      </right>
      <top style="medium">
        <color rgb="FF0000CC"/>
      </top>
      <bottom style="medium">
        <color rgb="FF0000CC"/>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style="medium">
        <color theme="9" tint="-0.499984740745262"/>
      </right>
      <top style="medium">
        <color rgb="FF0000CC"/>
      </top>
      <bottom style="medium">
        <color theme="9" tint="-0.499984740745262"/>
      </bottom>
      <diagonal/>
    </border>
    <border>
      <left style="medium">
        <color theme="9" tint="-0.499984740745262"/>
      </left>
      <right style="medium">
        <color theme="9" tint="-0.499984740745262"/>
      </right>
      <top style="medium">
        <color theme="9" tint="-0.499984740745262"/>
      </top>
      <bottom style="medium">
        <color rgb="FF0000CC"/>
      </bottom>
      <diagonal/>
    </border>
  </borders>
  <cellStyleXfs count="43">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26" borderId="0" applyNumberFormat="0" applyBorder="0" applyAlignment="0" applyProtection="0"/>
    <xf numFmtId="0" fontId="11" fillId="27" borderId="1" applyNumberFormat="0" applyAlignment="0" applyProtection="0"/>
    <xf numFmtId="0" fontId="12" fillId="28" borderId="2" applyNumberFormat="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30" borderId="1" applyNumberFormat="0" applyAlignment="0" applyProtection="0"/>
    <xf numFmtId="0" fontId="20" fillId="0" borderId="6" applyNumberFormat="0" applyFill="0" applyAlignment="0" applyProtection="0"/>
    <xf numFmtId="0" fontId="21" fillId="31" borderId="0" applyNumberFormat="0" applyBorder="0" applyAlignment="0" applyProtection="0"/>
    <xf numFmtId="0" fontId="8" fillId="32" borderId="7" applyNumberFormat="0" applyFont="0" applyAlignment="0" applyProtection="0"/>
    <xf numFmtId="0" fontId="22" fillId="27"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66">
    <xf numFmtId="0" fontId="0" fillId="0" borderId="0" xfId="0"/>
    <xf numFmtId="0" fontId="0" fillId="0" borderId="0" xfId="0" applyAlignment="1">
      <alignment horizontal="right"/>
    </xf>
    <xf numFmtId="0" fontId="0" fillId="0" borderId="0" xfId="0" applyAlignment="1">
      <alignment horizontal="center"/>
    </xf>
    <xf numFmtId="2" fontId="0" fillId="0" borderId="0" xfId="0" applyNumberFormat="1" applyAlignment="1">
      <alignment horizontal="center"/>
    </xf>
    <xf numFmtId="3" fontId="0" fillId="0" borderId="0" xfId="0" applyNumberFormat="1"/>
    <xf numFmtId="3" fontId="0" fillId="0" borderId="0" xfId="0" applyNumberFormat="1" applyAlignment="1">
      <alignment horizontal="center"/>
    </xf>
    <xf numFmtId="9" fontId="0" fillId="0" borderId="0" xfId="0" applyNumberFormat="1" applyAlignment="1">
      <alignment horizontal="center"/>
    </xf>
    <xf numFmtId="48" fontId="0" fillId="0" borderId="0" xfId="0" applyNumberFormat="1" applyAlignment="1">
      <alignment horizontal="center"/>
    </xf>
    <xf numFmtId="12" fontId="0" fillId="0" borderId="0" xfId="0" applyNumberFormat="1" applyAlignment="1">
      <alignment horizontal="center"/>
    </xf>
    <xf numFmtId="13"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11" fontId="0" fillId="0" borderId="0" xfId="0" applyNumberFormat="1"/>
    <xf numFmtId="11" fontId="0" fillId="0" borderId="0" xfId="0" applyNumberFormat="1" applyAlignment="1">
      <alignment horizontal="center"/>
    </xf>
    <xf numFmtId="164" fontId="0" fillId="0" borderId="0" xfId="0" applyNumberFormat="1" applyAlignment="1">
      <alignment horizontal="center"/>
    </xf>
    <xf numFmtId="13" fontId="0" fillId="0" borderId="0" xfId="0" applyNumberFormat="1"/>
    <xf numFmtId="0" fontId="26" fillId="0" borderId="0" xfId="0" applyFont="1"/>
    <xf numFmtId="0" fontId="0" fillId="0" borderId="0" xfId="0"/>
    <xf numFmtId="0" fontId="0" fillId="0" borderId="0" xfId="0" applyFont="1" applyAlignment="1">
      <alignment horizontal="center"/>
    </xf>
    <xf numFmtId="48" fontId="0" fillId="0" borderId="0" xfId="0" applyNumberFormat="1"/>
    <xf numFmtId="0" fontId="0" fillId="0" borderId="0" xfId="0" applyAlignment="1">
      <alignment horizontal="left"/>
    </xf>
    <xf numFmtId="0" fontId="18" fillId="0" borderId="0" xfId="34"/>
    <xf numFmtId="166" fontId="0" fillId="0" borderId="0" xfId="0" applyNumberFormat="1" applyAlignment="1">
      <alignment horizontal="center"/>
    </xf>
    <xf numFmtId="0" fontId="0" fillId="0" borderId="0" xfId="0" applyFill="1" applyBorder="1" applyAlignment="1">
      <alignment horizontal="center" vertical="center" wrapText="1"/>
    </xf>
    <xf numFmtId="2" fontId="0" fillId="0" borderId="0" xfId="0" applyNumberFormat="1"/>
    <xf numFmtId="164" fontId="0" fillId="0" borderId="0" xfId="0" applyNumberFormat="1"/>
    <xf numFmtId="168" fontId="0" fillId="0" borderId="0" xfId="0" applyNumberFormat="1"/>
    <xf numFmtId="167" fontId="0" fillId="0" borderId="0" xfId="0" applyNumberFormat="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7" fillId="0" borderId="0" xfId="0" applyFont="1"/>
    <xf numFmtId="0" fontId="0" fillId="0" borderId="0" xfId="0" quotePrefix="1" applyAlignment="1">
      <alignment horizontal="center"/>
    </xf>
    <xf numFmtId="0" fontId="18" fillId="0" borderId="0" xfId="34" applyAlignment="1">
      <alignment horizontal="center"/>
    </xf>
    <xf numFmtId="0" fontId="0" fillId="0" borderId="0" xfId="0" quotePrefix="1"/>
    <xf numFmtId="0" fontId="0" fillId="0" borderId="0" xfId="0" applyAlignment="1">
      <alignment horizontal="center"/>
    </xf>
    <xf numFmtId="0" fontId="28" fillId="0" borderId="0" xfId="0" applyFont="1"/>
    <xf numFmtId="0" fontId="24" fillId="0" borderId="0" xfId="0" applyFont="1"/>
    <xf numFmtId="169" fontId="0" fillId="0" borderId="0" xfId="0" applyNumberFormat="1"/>
    <xf numFmtId="1" fontId="0" fillId="0" borderId="0" xfId="0" applyNumberFormat="1"/>
    <xf numFmtId="0" fontId="0" fillId="0" borderId="0" xfId="0" applyAlignment="1">
      <alignment horizontal="center"/>
    </xf>
    <xf numFmtId="0" fontId="0" fillId="0" borderId="0" xfId="0" applyAlignment="1">
      <alignment horizontal="center"/>
    </xf>
    <xf numFmtId="0" fontId="0" fillId="0" borderId="0" xfId="0" applyAlignment="1"/>
    <xf numFmtId="0" fontId="0" fillId="0" borderId="0" xfId="0" applyAlignment="1">
      <alignment horizontal="center"/>
    </xf>
    <xf numFmtId="0" fontId="0" fillId="0" borderId="0" xfId="0" applyAlignment="1">
      <alignment horizontal="center" wrapText="1"/>
    </xf>
    <xf numFmtId="0" fontId="24" fillId="0" borderId="0" xfId="0" applyFont="1" applyAlignment="1">
      <alignment horizontal="right"/>
    </xf>
    <xf numFmtId="0" fontId="0" fillId="33" borderId="10" xfId="0" applyFill="1" applyBorder="1" applyAlignment="1">
      <alignment horizontal="center"/>
    </xf>
    <xf numFmtId="167" fontId="0" fillId="0" borderId="0" xfId="0" applyNumberFormat="1"/>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wrapText="1"/>
    </xf>
    <xf numFmtId="3" fontId="0" fillId="33" borderId="10" xfId="0" applyNumberFormat="1" applyFill="1" applyBorder="1" applyAlignment="1">
      <alignment horizontal="center"/>
    </xf>
    <xf numFmtId="3" fontId="0" fillId="34" borderId="11" xfId="0" applyNumberFormat="1" applyFill="1" applyBorder="1" applyAlignment="1">
      <alignment horizontal="center"/>
    </xf>
    <xf numFmtId="3" fontId="0" fillId="34" borderId="11" xfId="0" applyNumberFormat="1" applyFill="1" applyBorder="1"/>
    <xf numFmtId="3" fontId="0" fillId="34" borderId="12" xfId="0" applyNumberFormat="1" applyFill="1" applyBorder="1" applyAlignment="1">
      <alignment horizontal="center"/>
    </xf>
    <xf numFmtId="0" fontId="0" fillId="34" borderId="11" xfId="0" applyFill="1" applyBorder="1" applyAlignment="1">
      <alignment horizontal="center"/>
    </xf>
    <xf numFmtId="13" fontId="0" fillId="34" borderId="11" xfId="0" applyNumberFormat="1" applyFill="1" applyBorder="1" applyAlignment="1">
      <alignment horizontal="center"/>
    </xf>
    <xf numFmtId="0" fontId="0" fillId="34" borderId="13" xfId="0" applyFill="1" applyBorder="1" applyAlignment="1">
      <alignment horizontal="center"/>
    </xf>
    <xf numFmtId="0" fontId="0" fillId="0" borderId="0" xfId="0" applyAlignment="1">
      <alignment horizontal="right"/>
    </xf>
    <xf numFmtId="0" fontId="0" fillId="0" borderId="0" xfId="0" applyAlignment="1">
      <alignment horizontal="center"/>
    </xf>
    <xf numFmtId="0" fontId="24" fillId="0" borderId="0" xfId="0" applyFont="1" applyAlignment="1">
      <alignment horizontal="center"/>
    </xf>
    <xf numFmtId="0" fontId="0" fillId="0" borderId="0" xfId="0" applyAlignment="1"/>
    <xf numFmtId="0" fontId="0" fillId="0" borderId="0" xfId="0" applyAlignment="1">
      <alignment horizontal="right"/>
    </xf>
    <xf numFmtId="0" fontId="27" fillId="0" borderId="0" xfId="0" applyFont="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colors>
    <mruColors>
      <color rgb="FFFFFFCC"/>
      <color rgb="FFFFFFFF"/>
      <color rgb="FF0000CC"/>
      <color rgb="FFCCFFCC"/>
      <color rgb="FF006600"/>
      <color rgb="FF99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S-N for Aluminum and Steel</a:t>
            </a:r>
          </a:p>
        </c:rich>
      </c:tx>
      <c:overlay val="0"/>
    </c:title>
    <c:autoTitleDeleted val="0"/>
    <c:plotArea>
      <c:layout/>
      <c:scatterChart>
        <c:scatterStyle val="lineMarker"/>
        <c:varyColors val="0"/>
        <c:ser>
          <c:idx val="0"/>
          <c:order val="0"/>
          <c:tx>
            <c:strRef>
              <c:f>Buckle!$A$1</c:f>
              <c:strCache>
                <c:ptCount val="1"/>
                <c:pt idx="0">
                  <c:v>Steel</c:v>
                </c:pt>
              </c:strCache>
            </c:strRef>
          </c:tx>
          <c:marker>
            <c:symbol val="none"/>
          </c:marker>
          <c:xVal>
            <c:numRef>
              <c:f>Buckle!$A$3:$A$8</c:f>
              <c:numCache>
                <c:formatCode>0.00E+00</c:formatCode>
                <c:ptCount val="6"/>
                <c:pt idx="0">
                  <c:v>13641.5</c:v>
                </c:pt>
                <c:pt idx="1">
                  <c:v>66240.5</c:v>
                </c:pt>
                <c:pt idx="2">
                  <c:v>842129</c:v>
                </c:pt>
                <c:pt idx="3">
                  <c:v>1510870</c:v>
                </c:pt>
                <c:pt idx="4">
                  <c:v>3222910</c:v>
                </c:pt>
                <c:pt idx="5">
                  <c:v>147399000</c:v>
                </c:pt>
              </c:numCache>
            </c:numRef>
          </c:xVal>
          <c:yVal>
            <c:numRef>
              <c:f>Buckle!$B$3:$B$8</c:f>
              <c:numCache>
                <c:formatCode>General</c:formatCode>
                <c:ptCount val="6"/>
                <c:pt idx="0">
                  <c:v>69.889499999999998</c:v>
                </c:pt>
                <c:pt idx="1">
                  <c:v>60.409199999999998</c:v>
                </c:pt>
                <c:pt idx="2">
                  <c:v>46.597900000000003</c:v>
                </c:pt>
                <c:pt idx="3">
                  <c:v>44.328200000000002</c:v>
                </c:pt>
                <c:pt idx="4">
                  <c:v>44.112900000000003</c:v>
                </c:pt>
                <c:pt idx="5">
                  <c:v>44.064100000000003</c:v>
                </c:pt>
              </c:numCache>
            </c:numRef>
          </c:yVal>
          <c:smooth val="0"/>
          <c:extLst>
            <c:ext xmlns:c16="http://schemas.microsoft.com/office/drawing/2014/chart" uri="{C3380CC4-5D6E-409C-BE32-E72D297353CC}">
              <c16:uniqueId val="{00000000-5A0E-4336-B363-C48A986E33DB}"/>
            </c:ext>
          </c:extLst>
        </c:ser>
        <c:ser>
          <c:idx val="1"/>
          <c:order val="1"/>
          <c:tx>
            <c:strRef>
              <c:f>Buckle!$A$10</c:f>
              <c:strCache>
                <c:ptCount val="1"/>
                <c:pt idx="0">
                  <c:v>Aluminum</c:v>
                </c:pt>
              </c:strCache>
            </c:strRef>
          </c:tx>
          <c:marker>
            <c:symbol val="none"/>
          </c:marker>
          <c:xVal>
            <c:numRef>
              <c:f>Buckle!$A$12:$A$17</c:f>
              <c:numCache>
                <c:formatCode>0.00E+00</c:formatCode>
                <c:ptCount val="6"/>
                <c:pt idx="0">
                  <c:v>7543.81</c:v>
                </c:pt>
                <c:pt idx="1">
                  <c:v>34180.9</c:v>
                </c:pt>
                <c:pt idx="2">
                  <c:v>160485</c:v>
                </c:pt>
                <c:pt idx="3">
                  <c:v>1500480</c:v>
                </c:pt>
                <c:pt idx="4">
                  <c:v>16108100</c:v>
                </c:pt>
                <c:pt idx="5">
                  <c:v>167205000</c:v>
                </c:pt>
              </c:numCache>
            </c:numRef>
          </c:xVal>
          <c:yVal>
            <c:numRef>
              <c:f>Buckle!$B$12:$B$17</c:f>
              <c:numCache>
                <c:formatCode>General</c:formatCode>
                <c:ptCount val="6"/>
                <c:pt idx="0">
                  <c:v>53.856000000000002</c:v>
                </c:pt>
                <c:pt idx="1">
                  <c:v>43.553899999999999</c:v>
                </c:pt>
                <c:pt idx="2">
                  <c:v>35.924900000000001</c:v>
                </c:pt>
                <c:pt idx="3">
                  <c:v>28.287099999999999</c:v>
                </c:pt>
                <c:pt idx="4">
                  <c:v>21.675899999999999</c:v>
                </c:pt>
                <c:pt idx="5">
                  <c:v>16.916</c:v>
                </c:pt>
              </c:numCache>
            </c:numRef>
          </c:yVal>
          <c:smooth val="0"/>
          <c:extLst>
            <c:ext xmlns:c16="http://schemas.microsoft.com/office/drawing/2014/chart" uri="{C3380CC4-5D6E-409C-BE32-E72D297353CC}">
              <c16:uniqueId val="{00000001-5A0E-4336-B363-C48A986E33DB}"/>
            </c:ext>
          </c:extLst>
        </c:ser>
        <c:ser>
          <c:idx val="2"/>
          <c:order val="2"/>
          <c:tx>
            <c:v>Aluminum 2</c:v>
          </c:tx>
          <c:marker>
            <c:symbol val="none"/>
          </c:marker>
          <c:trendline>
            <c:trendlineType val="power"/>
            <c:dispRSqr val="0"/>
            <c:dispEq val="1"/>
            <c:trendlineLbl>
              <c:layout>
                <c:manualLayout>
                  <c:x val="-1.8155074365704287E-2"/>
                  <c:y val="3.8622170744370132E-2"/>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Buckle!$A$13:$A$14</c:f>
              <c:numCache>
                <c:formatCode>0.00E+00</c:formatCode>
                <c:ptCount val="2"/>
                <c:pt idx="0">
                  <c:v>34180.9</c:v>
                </c:pt>
                <c:pt idx="1">
                  <c:v>160485</c:v>
                </c:pt>
              </c:numCache>
            </c:numRef>
          </c:xVal>
          <c:yVal>
            <c:numRef>
              <c:f>Buckle!$B$13:$B$14</c:f>
              <c:numCache>
                <c:formatCode>General</c:formatCode>
                <c:ptCount val="2"/>
                <c:pt idx="0">
                  <c:v>43.553899999999999</c:v>
                </c:pt>
                <c:pt idx="1">
                  <c:v>35.924900000000001</c:v>
                </c:pt>
              </c:numCache>
            </c:numRef>
          </c:yVal>
          <c:smooth val="0"/>
          <c:extLst>
            <c:ext xmlns:c16="http://schemas.microsoft.com/office/drawing/2014/chart" uri="{C3380CC4-5D6E-409C-BE32-E72D297353CC}">
              <c16:uniqueId val="{00000002-5A0E-4336-B363-C48A986E33DB}"/>
            </c:ext>
          </c:extLst>
        </c:ser>
        <c:ser>
          <c:idx val="3"/>
          <c:order val="3"/>
          <c:tx>
            <c:v>Steel 2</c:v>
          </c:tx>
          <c:marker>
            <c:symbol val="none"/>
          </c:marker>
          <c:trendline>
            <c:trendlineType val="linear"/>
            <c:dispRSqr val="0"/>
            <c:dispEq val="1"/>
            <c:trendlineLbl>
              <c:layout>
                <c:manualLayout>
                  <c:x val="0.15666358692904192"/>
                  <c:y val="-0.11132062204165516"/>
                </c:manualLayout>
              </c:layout>
              <c:numFmt formatCode="General" sourceLinked="0"/>
              <c:txPr>
                <a:bodyPr/>
                <a:lstStyle/>
                <a:p>
                  <a:pPr>
                    <a:defRPr sz="1000" b="0" i="0" u="none" strike="noStrike" baseline="0">
                      <a:solidFill>
                        <a:srgbClr val="000000"/>
                      </a:solidFill>
                      <a:latin typeface="Calibri"/>
                      <a:ea typeface="Calibri"/>
                      <a:cs typeface="Calibri"/>
                    </a:defRPr>
                  </a:pPr>
                  <a:endParaRPr lang="en-US"/>
                </a:p>
              </c:txPr>
            </c:trendlineLbl>
          </c:trendline>
          <c:xVal>
            <c:numRef>
              <c:f>Buckle!$A$4:$A$5</c:f>
              <c:numCache>
                <c:formatCode>0.00E+00</c:formatCode>
                <c:ptCount val="2"/>
                <c:pt idx="0">
                  <c:v>66240.5</c:v>
                </c:pt>
                <c:pt idx="1">
                  <c:v>842129</c:v>
                </c:pt>
              </c:numCache>
            </c:numRef>
          </c:xVal>
          <c:yVal>
            <c:numRef>
              <c:f>Buckle!$B$4:$B$5</c:f>
              <c:numCache>
                <c:formatCode>General</c:formatCode>
                <c:ptCount val="2"/>
                <c:pt idx="0">
                  <c:v>60.409199999999998</c:v>
                </c:pt>
                <c:pt idx="1">
                  <c:v>46.597900000000003</c:v>
                </c:pt>
              </c:numCache>
            </c:numRef>
          </c:yVal>
          <c:smooth val="0"/>
          <c:extLst>
            <c:ext xmlns:c16="http://schemas.microsoft.com/office/drawing/2014/chart" uri="{C3380CC4-5D6E-409C-BE32-E72D297353CC}">
              <c16:uniqueId val="{00000003-5A0E-4336-B363-C48A986E33DB}"/>
            </c:ext>
          </c:extLst>
        </c:ser>
        <c:dLbls>
          <c:showLegendKey val="0"/>
          <c:showVal val="0"/>
          <c:showCatName val="0"/>
          <c:showSerName val="0"/>
          <c:showPercent val="0"/>
          <c:showBubbleSize val="0"/>
        </c:dLbls>
        <c:axId val="458840816"/>
        <c:axId val="458841208"/>
      </c:scatterChart>
      <c:valAx>
        <c:axId val="458840816"/>
        <c:scaling>
          <c:logBase val="10"/>
          <c:orientation val="minMax"/>
          <c:max val="1000000000"/>
          <c:min val="1000"/>
        </c:scaling>
        <c:delete val="0"/>
        <c:axPos val="b"/>
        <c:majorGridlines/>
        <c:minorGridlines/>
        <c:title>
          <c:tx>
            <c:rich>
              <a:bodyPr/>
              <a:lstStyle/>
              <a:p>
                <a:pPr>
                  <a:defRPr sz="1000" b="1" i="0" u="none" strike="noStrike" baseline="0">
                    <a:solidFill>
                      <a:srgbClr val="000000"/>
                    </a:solidFill>
                    <a:latin typeface="Calibri"/>
                    <a:ea typeface="Calibri"/>
                    <a:cs typeface="Calibri"/>
                  </a:defRPr>
                </a:pPr>
                <a:r>
                  <a:rPr lang="en-US"/>
                  <a:t>Cycles</a:t>
                </a:r>
              </a:p>
            </c:rich>
          </c:tx>
          <c:overlay val="0"/>
        </c:title>
        <c:numFmt formatCode="0.E+0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8841208"/>
        <c:crosses val="autoZero"/>
        <c:crossBetween val="midCat"/>
      </c:valAx>
      <c:valAx>
        <c:axId val="45884120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kPSI</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5884081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19050</xdr:colOff>
          <xdr:row>2</xdr:row>
          <xdr:rowOff>9525</xdr:rowOff>
        </xdr:from>
        <xdr:to>
          <xdr:col>22</xdr:col>
          <xdr:colOff>19050</xdr:colOff>
          <xdr:row>22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4</xdr:col>
      <xdr:colOff>0</xdr:colOff>
      <xdr:row>11</xdr:row>
      <xdr:rowOff>171450</xdr:rowOff>
    </xdr:from>
    <xdr:ext cx="4381499" cy="781240"/>
    <xdr:sp macro="" textlink="">
      <xdr:nvSpPr>
        <xdr:cNvPr id="5" name="TextBox 4"/>
        <xdr:cNvSpPr txBox="1"/>
      </xdr:nvSpPr>
      <xdr:spPr>
        <a:xfrm>
          <a:off x="3114675" y="2266950"/>
          <a:ext cx="4381499" cy="781240"/>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solidFill>
                <a:schemeClr val="tx1"/>
              </a:solidFill>
              <a:effectLst/>
              <a:latin typeface="+mn-lt"/>
              <a:ea typeface="+mn-ea"/>
              <a:cs typeface="+mn-cs"/>
            </a:rPr>
            <a:t>The task is to design a cable that will support a 5 ton vehicle (earth weight) that</a:t>
          </a:r>
          <a:r>
            <a:rPr lang="en-US" sz="1100" b="0" baseline="0">
              <a:solidFill>
                <a:schemeClr val="tx1"/>
              </a:solidFill>
              <a:effectLst/>
              <a:latin typeface="+mn-lt"/>
              <a:ea typeface="+mn-ea"/>
              <a:cs typeface="+mn-cs"/>
            </a:rPr>
            <a:t> will be used on Mars.</a:t>
          </a:r>
          <a:r>
            <a:rPr lang="en-US" sz="1100" b="0">
              <a:solidFill>
                <a:schemeClr val="tx1"/>
              </a:solidFill>
              <a:effectLst/>
              <a:latin typeface="+mn-lt"/>
              <a:ea typeface="+mn-ea"/>
              <a:cs typeface="+mn-cs"/>
            </a:rPr>
            <a:t> The cable is 25 foot long and can have an</a:t>
          </a:r>
          <a:r>
            <a:rPr lang="en-US" sz="1100" b="0" baseline="0">
              <a:solidFill>
                <a:schemeClr val="tx1"/>
              </a:solidFill>
              <a:effectLst/>
              <a:latin typeface="+mn-lt"/>
              <a:ea typeface="+mn-ea"/>
              <a:cs typeface="+mn-cs"/>
            </a:rPr>
            <a:t> elastic deformation of no more than 10%. Using the </a:t>
          </a:r>
          <a:r>
            <a:rPr lang="en-US" sz="1100" b="0">
              <a:solidFill>
                <a:schemeClr val="tx1"/>
              </a:solidFill>
              <a:effectLst/>
              <a:latin typeface="+mn-lt"/>
              <a:ea typeface="+mn-ea"/>
              <a:cs typeface="+mn-cs"/>
            </a:rPr>
            <a:t>Modulus of Elasticity for various metals</a:t>
          </a:r>
          <a:r>
            <a:rPr lang="en-US" sz="1100" b="0" baseline="0">
              <a:solidFill>
                <a:schemeClr val="tx1"/>
              </a:solidFill>
              <a:effectLst/>
              <a:latin typeface="+mn-lt"/>
              <a:ea typeface="+mn-ea"/>
              <a:cs typeface="+mn-cs"/>
            </a:rPr>
            <a:t> design a cable. Use standard cable sizes.</a:t>
          </a:r>
          <a:endParaRPr lang="en-US">
            <a:effectLst/>
          </a:endParaRPr>
        </a:p>
      </xdr:txBody>
    </xdr:sp>
    <xdr:clientData/>
  </xdr:oneCellAnchor>
  <xdr:oneCellAnchor>
    <xdr:from>
      <xdr:col>4</xdr:col>
      <xdr:colOff>0</xdr:colOff>
      <xdr:row>16</xdr:row>
      <xdr:rowOff>133350</xdr:rowOff>
    </xdr:from>
    <xdr:ext cx="4362450" cy="436786"/>
    <xdr:sp macro="" textlink="">
      <xdr:nvSpPr>
        <xdr:cNvPr id="6" name="TextBox 5"/>
        <xdr:cNvSpPr txBox="1"/>
      </xdr:nvSpPr>
      <xdr:spPr>
        <a:xfrm>
          <a:off x="3114675" y="3181350"/>
          <a:ext cx="4362450" cy="436786"/>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solidFill>
                <a:schemeClr val="tx1"/>
              </a:solidFill>
              <a:effectLst/>
              <a:latin typeface="+mn-lt"/>
              <a:ea typeface="+mn-ea"/>
              <a:cs typeface="+mn-cs"/>
            </a:rPr>
            <a:t>This spreadsheet uses Index and Match functions to select the cable to use for each material</a:t>
          </a:r>
          <a:endParaRPr lang="en-US">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152400</xdr:rowOff>
    </xdr:from>
    <xdr:to>
      <xdr:col>11</xdr:col>
      <xdr:colOff>219075</xdr:colOff>
      <xdr:row>12</xdr:row>
      <xdr:rowOff>133350</xdr:rowOff>
    </xdr:to>
    <xdr:pic>
      <xdr:nvPicPr>
        <xdr:cNvPr id="59420" name="Picture 2" descr="http://upload.wikimedia.org/wikipedia/commons/thumb/6/67/US_Marine_Corps_030224-M-XT622-034_USMC_M923_%286X6%29_5-ton_cargo_truck_heads_a_convoy_departing_Camp_Matilda%2C_Kuwait_crop.jpg/220px-US_Marine_Corps_030224-M-XT622-034_USMC_M923_%286X6%29_5-ton_cargo_truck_heads_a_convoy_departing_Camp_Matilda%2C_Kuwait_crop.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 y="1076325"/>
          <a:ext cx="20955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25145</xdr:colOff>
      <xdr:row>13</xdr:row>
      <xdr:rowOff>28575</xdr:rowOff>
    </xdr:from>
    <xdr:to>
      <xdr:col>12</xdr:col>
      <xdr:colOff>38100</xdr:colOff>
      <xdr:row>19</xdr:row>
      <xdr:rowOff>108576</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1120" y="2733675"/>
          <a:ext cx="2460880" cy="1223001"/>
        </a:xfrm>
        <a:prstGeom prst="rect">
          <a:avLst/>
        </a:prstGeom>
      </xdr:spPr>
    </xdr:pic>
    <xdr:clientData/>
  </xdr:twoCellAnchor>
  <xdr:oneCellAnchor>
    <xdr:from>
      <xdr:col>19</xdr:col>
      <xdr:colOff>0</xdr:colOff>
      <xdr:row>9</xdr:row>
      <xdr:rowOff>0</xdr:rowOff>
    </xdr:from>
    <xdr:ext cx="4381499" cy="953466"/>
    <xdr:sp macro="" textlink="">
      <xdr:nvSpPr>
        <xdr:cNvPr id="4" name="TextBox 3"/>
        <xdr:cNvSpPr txBox="1"/>
      </xdr:nvSpPr>
      <xdr:spPr>
        <a:xfrm>
          <a:off x="5953125" y="1952625"/>
          <a:ext cx="4381499" cy="953466"/>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solidFill>
                <a:schemeClr val="tx1"/>
              </a:solidFill>
              <a:effectLst/>
              <a:latin typeface="+mn-lt"/>
              <a:ea typeface="+mn-ea"/>
              <a:cs typeface="+mn-cs"/>
            </a:rPr>
            <a:t>A 5 ton truck</a:t>
          </a:r>
          <a:r>
            <a:rPr lang="en-US" sz="1100" b="0" baseline="0">
              <a:solidFill>
                <a:schemeClr val="tx1"/>
              </a:solidFill>
              <a:effectLst/>
              <a:latin typeface="+mn-lt"/>
              <a:ea typeface="+mn-ea"/>
              <a:cs typeface="+mn-cs"/>
            </a:rPr>
            <a:t> may weigh 5 tons (it really doesn't). The truck must be balanced on a platfrom and lifted with a 25 foot cable. The main cable is tied to a buckle that is attached to four cables that are connected to a lift platform that the truck sits on. Determine the  force in the 4 cables attached to the platform. </a:t>
          </a:r>
          <a:endParaRPr lang="en-US">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28575</xdr:colOff>
      <xdr:row>0</xdr:row>
      <xdr:rowOff>180975</xdr:rowOff>
    </xdr:from>
    <xdr:to>
      <xdr:col>11</xdr:col>
      <xdr:colOff>590550</xdr:colOff>
      <xdr:row>22</xdr:row>
      <xdr:rowOff>76200</xdr:rowOff>
    </xdr:to>
    <xdr:graphicFrame macro="">
      <xdr:nvGraphicFramePr>
        <xdr:cNvPr id="21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0</xdr:colOff>
      <xdr:row>24</xdr:row>
      <xdr:rowOff>0</xdr:rowOff>
    </xdr:from>
    <xdr:ext cx="4381499" cy="436786"/>
    <xdr:sp macro="" textlink="">
      <xdr:nvSpPr>
        <xdr:cNvPr id="3" name="TextBox 2"/>
        <xdr:cNvSpPr txBox="1"/>
      </xdr:nvSpPr>
      <xdr:spPr>
        <a:xfrm>
          <a:off x="2105025" y="4581525"/>
          <a:ext cx="4381499" cy="436786"/>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solidFill>
                <a:schemeClr val="tx1"/>
              </a:solidFill>
              <a:effectLst/>
              <a:latin typeface="+mn-lt"/>
              <a:ea typeface="+mn-ea"/>
              <a:cs typeface="+mn-cs"/>
            </a:rPr>
            <a:t>The Buckle design is based on data given in the book for S-N curves</a:t>
          </a:r>
          <a:r>
            <a:rPr lang="en-US" sz="1100" b="0" baseline="0">
              <a:solidFill>
                <a:schemeClr val="tx1"/>
              </a:solidFill>
              <a:effectLst/>
              <a:latin typeface="+mn-lt"/>
              <a:ea typeface="+mn-ea"/>
              <a:cs typeface="+mn-cs"/>
            </a:rPr>
            <a:t>. The size of the Buckle is based on the </a:t>
          </a:r>
          <a:endParaRPr lang="en-US">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0</xdr:rowOff>
    </xdr:from>
    <xdr:ext cx="2781300" cy="1125693"/>
    <xdr:sp macro="" textlink="">
      <xdr:nvSpPr>
        <xdr:cNvPr id="2" name="TextBox 1"/>
        <xdr:cNvSpPr txBox="1"/>
      </xdr:nvSpPr>
      <xdr:spPr>
        <a:xfrm>
          <a:off x="4867275" y="190500"/>
          <a:ext cx="2781300" cy="1125693"/>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t>Temp Coefficeints are linked to the Temp Co spreadsheet. User should just use the green dropdown boxes and select the material fo use. Then this spreadsheet will calculate the amount of change in cable lenght due to the temperature change.</a:t>
          </a:r>
        </a:p>
      </xdr:txBody>
    </xdr:sp>
    <xdr:clientData/>
  </xdr:oneCellAnchor>
  <xdr:oneCellAnchor>
    <xdr:from>
      <xdr:col>7</xdr:col>
      <xdr:colOff>9525</xdr:colOff>
      <xdr:row>8</xdr:row>
      <xdr:rowOff>9525</xdr:rowOff>
    </xdr:from>
    <xdr:ext cx="2781300" cy="436786"/>
    <xdr:sp macro="" textlink="">
      <xdr:nvSpPr>
        <xdr:cNvPr id="3" name="TextBox 2"/>
        <xdr:cNvSpPr txBox="1"/>
      </xdr:nvSpPr>
      <xdr:spPr>
        <a:xfrm>
          <a:off x="4876800" y="1533525"/>
          <a:ext cx="2781300" cy="436786"/>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t>How much does the cable length change due to temperature?</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600076</xdr:colOff>
      <xdr:row>1</xdr:row>
      <xdr:rowOff>0</xdr:rowOff>
    </xdr:from>
    <xdr:ext cx="4362450" cy="609013"/>
    <xdr:sp macro="" textlink="">
      <xdr:nvSpPr>
        <xdr:cNvPr id="5" name="TextBox 4"/>
        <xdr:cNvSpPr txBox="1"/>
      </xdr:nvSpPr>
      <xdr:spPr>
        <a:xfrm>
          <a:off x="4352926" y="200025"/>
          <a:ext cx="4362450" cy="609013"/>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solidFill>
                <a:schemeClr val="tx1"/>
              </a:solidFill>
              <a:effectLst/>
              <a:latin typeface="+mn-lt"/>
              <a:ea typeface="+mn-ea"/>
              <a:cs typeface="+mn-cs"/>
            </a:rPr>
            <a:t>This spreadsheet is linked throughout the</a:t>
          </a:r>
          <a:r>
            <a:rPr lang="en-US" sz="1100" b="0" baseline="0">
              <a:solidFill>
                <a:schemeClr val="tx1"/>
              </a:solidFill>
              <a:effectLst/>
              <a:latin typeface="+mn-lt"/>
              <a:ea typeface="+mn-ea"/>
              <a:cs typeface="+mn-cs"/>
            </a:rPr>
            <a:t> others. The user should select the planned, and type of masterial to use for each design using the green dropdown boxes. </a:t>
          </a:r>
          <a:r>
            <a:rPr lang="en-US" sz="1100" b="0">
              <a:solidFill>
                <a:schemeClr val="tx1"/>
              </a:solidFill>
              <a:effectLst/>
              <a:latin typeface="+mn-lt"/>
              <a:ea typeface="+mn-ea"/>
              <a:cs typeface="+mn-cs"/>
            </a:rPr>
            <a:t>Pick the planet and material types for the cables.</a:t>
          </a:r>
          <a:endParaRPr lang="en-US">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19050</xdr:colOff>
      <xdr:row>11</xdr:row>
      <xdr:rowOff>161925</xdr:rowOff>
    </xdr:from>
    <xdr:ext cx="4381499" cy="781240"/>
    <xdr:sp macro="" textlink="">
      <xdr:nvSpPr>
        <xdr:cNvPr id="2" name="TextBox 1"/>
        <xdr:cNvSpPr txBox="1"/>
      </xdr:nvSpPr>
      <xdr:spPr>
        <a:xfrm>
          <a:off x="3133725" y="2257425"/>
          <a:ext cx="4381499" cy="781240"/>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solidFill>
                <a:schemeClr val="tx1"/>
              </a:solidFill>
              <a:effectLst/>
              <a:latin typeface="+mn-lt"/>
              <a:ea typeface="+mn-ea"/>
              <a:cs typeface="+mn-cs"/>
            </a:rPr>
            <a:t>The task is to design a cable that will support a 5 ton vehicle (earth weight) that</a:t>
          </a:r>
          <a:r>
            <a:rPr lang="en-US" sz="1100" b="0" baseline="0">
              <a:solidFill>
                <a:schemeClr val="tx1"/>
              </a:solidFill>
              <a:effectLst/>
              <a:latin typeface="+mn-lt"/>
              <a:ea typeface="+mn-ea"/>
              <a:cs typeface="+mn-cs"/>
            </a:rPr>
            <a:t> will be used on Mars.</a:t>
          </a:r>
          <a:r>
            <a:rPr lang="en-US" sz="1100" b="0">
              <a:solidFill>
                <a:schemeClr val="tx1"/>
              </a:solidFill>
              <a:effectLst/>
              <a:latin typeface="+mn-lt"/>
              <a:ea typeface="+mn-ea"/>
              <a:cs typeface="+mn-cs"/>
            </a:rPr>
            <a:t> The cable is 25 foot long and can have an</a:t>
          </a:r>
          <a:r>
            <a:rPr lang="en-US" sz="1100" b="0" baseline="0">
              <a:solidFill>
                <a:schemeClr val="tx1"/>
              </a:solidFill>
              <a:effectLst/>
              <a:latin typeface="+mn-lt"/>
              <a:ea typeface="+mn-ea"/>
              <a:cs typeface="+mn-cs"/>
            </a:rPr>
            <a:t> elastic deformation of no more than 10%. Using the </a:t>
          </a:r>
          <a:r>
            <a:rPr lang="en-US" sz="1100" b="0">
              <a:solidFill>
                <a:schemeClr val="tx1"/>
              </a:solidFill>
              <a:effectLst/>
              <a:latin typeface="+mn-lt"/>
              <a:ea typeface="+mn-ea"/>
              <a:cs typeface="+mn-cs"/>
            </a:rPr>
            <a:t>Modulus of Elasticity for various metals</a:t>
          </a:r>
          <a:r>
            <a:rPr lang="en-US" sz="1100" b="0" baseline="0">
              <a:solidFill>
                <a:schemeClr val="tx1"/>
              </a:solidFill>
              <a:effectLst/>
              <a:latin typeface="+mn-lt"/>
              <a:ea typeface="+mn-ea"/>
              <a:cs typeface="+mn-cs"/>
            </a:rPr>
            <a:t> design a cable. Use standard cable sizes.</a:t>
          </a:r>
          <a:endParaRPr lang="en-US">
            <a:effectLst/>
          </a:endParaRPr>
        </a:p>
      </xdr:txBody>
    </xdr:sp>
    <xdr:clientData/>
  </xdr:oneCellAnchor>
  <xdr:oneCellAnchor>
    <xdr:from>
      <xdr:col>4</xdr:col>
      <xdr:colOff>9525</xdr:colOff>
      <xdr:row>16</xdr:row>
      <xdr:rowOff>123825</xdr:rowOff>
    </xdr:from>
    <xdr:ext cx="4362450" cy="436786"/>
    <xdr:sp macro="" textlink="">
      <xdr:nvSpPr>
        <xdr:cNvPr id="3" name="TextBox 2"/>
        <xdr:cNvSpPr txBox="1"/>
      </xdr:nvSpPr>
      <xdr:spPr>
        <a:xfrm>
          <a:off x="3124200" y="3171825"/>
          <a:ext cx="4362450" cy="436786"/>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solidFill>
                <a:schemeClr val="tx1"/>
              </a:solidFill>
              <a:effectLst/>
              <a:latin typeface="+mn-lt"/>
              <a:ea typeface="+mn-ea"/>
              <a:cs typeface="+mn-cs"/>
            </a:rPr>
            <a:t>This spreadsheet uses Index and Match functions to select the cable to use for each material</a:t>
          </a:r>
          <a:endParaRPr lang="en-US">
            <a:effectLst/>
          </a:endParaRP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2</xdr:row>
          <xdr:rowOff>9525</xdr:rowOff>
        </xdr:from>
        <xdr:to>
          <xdr:col>22</xdr:col>
          <xdr:colOff>19050</xdr:colOff>
          <xdr:row>22</xdr:row>
          <xdr:rowOff>142875</xdr:rowOff>
        </xdr:to>
        <xdr:sp macro="" textlink="">
          <xdr:nvSpPr>
            <xdr:cNvPr id="31745" name="Object 1" hidden="1">
              <a:extLst>
                <a:ext uri="{63B3BB69-23CF-44E3-9099-C40C66FF867C}">
                  <a14:compatExt spid="_x0000_s317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3</xdr:col>
      <xdr:colOff>104775</xdr:colOff>
      <xdr:row>4</xdr:row>
      <xdr:rowOff>76200</xdr:rowOff>
    </xdr:from>
    <xdr:to>
      <xdr:col>11</xdr:col>
      <xdr:colOff>323850</xdr:colOff>
      <xdr:row>12</xdr:row>
      <xdr:rowOff>57150</xdr:rowOff>
    </xdr:to>
    <xdr:pic>
      <xdr:nvPicPr>
        <xdr:cNvPr id="60444" name="Picture 2" descr="http://upload.wikimedia.org/wikipedia/commons/thumb/6/67/US_Marine_Corps_030224-M-XT622-034_USMC_M923_%286X6%29_5-ton_cargo_truck_heads_a_convoy_departing_Camp_Matilda%2C_Kuwait_crop.jpg/220px-US_Marine_Corps_030224-M-XT622-034_USMC_M923_%286X6%29_5-ton_cargo_truck_heads_a_convoy_departing_Camp_Matilda%2C_Kuwait_crop.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90600"/>
          <a:ext cx="20955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13</xdr:row>
      <xdr:rowOff>66675</xdr:rowOff>
    </xdr:from>
    <xdr:to>
      <xdr:col>13</xdr:col>
      <xdr:colOff>127255</xdr:colOff>
      <xdr:row>19</xdr:row>
      <xdr:rowOff>146676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4550" y="2771775"/>
          <a:ext cx="2460880" cy="1223001"/>
        </a:xfrm>
        <a:prstGeom prst="rect">
          <a:avLst/>
        </a:prstGeom>
      </xdr:spPr>
    </xdr:pic>
    <xdr:clientData/>
  </xdr:twoCellAnchor>
  <xdr:oneCellAnchor>
    <xdr:from>
      <xdr:col>19</xdr:col>
      <xdr:colOff>0</xdr:colOff>
      <xdr:row>9</xdr:row>
      <xdr:rowOff>0</xdr:rowOff>
    </xdr:from>
    <xdr:ext cx="4381499" cy="436786"/>
    <xdr:sp macro="" textlink="">
      <xdr:nvSpPr>
        <xdr:cNvPr id="4" name="TextBox 3"/>
        <xdr:cNvSpPr txBox="1"/>
      </xdr:nvSpPr>
      <xdr:spPr>
        <a:xfrm>
          <a:off x="5953125" y="1943100"/>
          <a:ext cx="4381499" cy="436786"/>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a:solidFill>
                <a:schemeClr val="tx1"/>
              </a:solidFill>
              <a:effectLst/>
              <a:latin typeface="+mn-lt"/>
              <a:ea typeface="+mn-ea"/>
              <a:cs typeface="+mn-cs"/>
            </a:rPr>
            <a:t>Cable size</a:t>
          </a:r>
          <a:r>
            <a:rPr lang="en-US" sz="1100" b="0" baseline="0">
              <a:solidFill>
                <a:schemeClr val="tx1"/>
              </a:solidFill>
              <a:effectLst/>
              <a:latin typeface="+mn-lt"/>
              <a:ea typeface="+mn-ea"/>
              <a:cs typeface="+mn-cs"/>
            </a:rPr>
            <a:t> will change for a Mars mission becasue of the reducted gravity.</a:t>
          </a:r>
        </a:p>
        <a:p>
          <a:r>
            <a:rPr lang="en-US" sz="1100" b="0" baseline="0">
              <a:solidFill>
                <a:schemeClr val="tx1"/>
              </a:solidFill>
              <a:effectLst/>
              <a:latin typeface="+mn-lt"/>
              <a:ea typeface="+mn-ea"/>
              <a:cs typeface="+mn-cs"/>
            </a:rPr>
            <a:t>Forces scale so this should be easy...</a:t>
          </a:r>
          <a:endParaRPr lang="en-US">
            <a:effectLst/>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5</xdr:col>
      <xdr:colOff>9525</xdr:colOff>
      <xdr:row>1</xdr:row>
      <xdr:rowOff>9525</xdr:rowOff>
    </xdr:from>
    <xdr:ext cx="3005503" cy="436786"/>
    <xdr:sp macro="" textlink="">
      <xdr:nvSpPr>
        <xdr:cNvPr id="2" name="TextBox 1"/>
        <xdr:cNvSpPr txBox="1"/>
      </xdr:nvSpPr>
      <xdr:spPr>
        <a:xfrm>
          <a:off x="4448175" y="200025"/>
          <a:ext cx="3005503" cy="436786"/>
        </a:xfrm>
        <a:prstGeom prst="rect">
          <a:avLst/>
        </a:prstGeom>
        <a:solidFill>
          <a:srgbClr val="CCFFCC"/>
        </a:solidFill>
        <a:ln>
          <a:solidFill>
            <a:srgbClr val="0000CC"/>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a:t>This page calculates the launch cost based</a:t>
          </a:r>
          <a:r>
            <a:rPr lang="en-US" sz="1100" b="0" baseline="0"/>
            <a:t> on the</a:t>
          </a:r>
        </a:p>
        <a:p>
          <a:r>
            <a:rPr lang="en-US" sz="1100" b="0" baseline="0"/>
            <a:t>weight of the cables.</a:t>
          </a:r>
          <a:endParaRPr lang="en-US" sz="1100" b="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space.com/47-mars-the-red-planet-fourth-planet-from-the-sun.html" TargetMode="External"/><Relationship Id="rId2" Type="http://schemas.openxmlformats.org/officeDocument/2006/relationships/hyperlink" Target="http://www.space.com/18563-pluto-temperature.html" TargetMode="External"/><Relationship Id="rId1" Type="http://schemas.openxmlformats.org/officeDocument/2006/relationships/hyperlink" Target="http://www.space.com/18175-moon-temperature.html"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nssdc.gsfc.nasa.gov/planetary/factsheet/index.html" TargetMode="External"/><Relationship Id="rId1" Type="http://schemas.openxmlformats.org/officeDocument/2006/relationships/hyperlink" Target="http://www.livescience.com/33356-weight-on-planets-mars-moon.html"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www.engineeringtoolbox.com/poissons-ratio-d_1224.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5.vml"/><Relationship Id="rId1" Type="http://schemas.openxmlformats.org/officeDocument/2006/relationships/drawing" Target="../drawings/drawing6.xml"/><Relationship Id="rId5" Type="http://schemas.openxmlformats.org/officeDocument/2006/relationships/comments" Target="../comments5.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www.engineeringtoolbox.com/linear-expansion-coefficients-d_95.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006600"/>
  </sheetPr>
  <dimension ref="A1:AE29"/>
  <sheetViews>
    <sheetView workbookViewId="0">
      <selection activeCell="G34" sqref="G34"/>
    </sheetView>
  </sheetViews>
  <sheetFormatPr defaultRowHeight="15" x14ac:dyDescent="0.25"/>
  <cols>
    <col min="1" max="1" width="29.85546875" style="1" bestFit="1" customWidth="1"/>
    <col min="2" max="2" width="10.140625" bestFit="1" customWidth="1"/>
    <col min="3" max="3" width="4" bestFit="1" customWidth="1"/>
    <col min="4" max="4" width="2.7109375" customWidth="1"/>
    <col min="5" max="5" width="11.28515625" style="1" bestFit="1" customWidth="1"/>
    <col min="6" max="9" width="10.7109375" customWidth="1"/>
    <col min="10" max="10" width="2.7109375" customWidth="1"/>
    <col min="11" max="11" width="8.85546875" bestFit="1" customWidth="1"/>
    <col min="12" max="12" width="6.28515625" bestFit="1" customWidth="1"/>
    <col min="13" max="13" width="8.42578125" bestFit="1" customWidth="1"/>
    <col min="14" max="14" width="2.7109375" customWidth="1"/>
    <col min="15" max="15" width="8.28515625" bestFit="1" customWidth="1"/>
    <col min="17" max="18" width="6.28515625" bestFit="1" customWidth="1"/>
    <col min="19" max="19" width="8.42578125" bestFit="1" customWidth="1"/>
    <col min="20" max="20" width="2.7109375" customWidth="1"/>
    <col min="21" max="21" width="9" bestFit="1" customWidth="1"/>
    <col min="22" max="22" width="6.85546875" bestFit="1" customWidth="1"/>
    <col min="23" max="23" width="6.5703125" bestFit="1" customWidth="1"/>
    <col min="24" max="24" width="6.28515625" bestFit="1" customWidth="1"/>
    <col min="25" max="25" width="8.42578125" bestFit="1" customWidth="1"/>
    <col min="26" max="26" width="2.7109375" customWidth="1"/>
    <col min="27" max="27" width="11.28515625" bestFit="1" customWidth="1"/>
    <col min="28" max="28" width="6.85546875" bestFit="1" customWidth="1"/>
    <col min="29" max="29" width="6.5703125" bestFit="1" customWidth="1"/>
    <col min="30" max="30" width="6.28515625" bestFit="1" customWidth="1"/>
    <col min="31" max="31" width="8.42578125" bestFit="1" customWidth="1"/>
  </cols>
  <sheetData>
    <row r="1" spans="1:31" s="29" customFormat="1" x14ac:dyDescent="0.25">
      <c r="A1" s="1"/>
      <c r="E1" s="1"/>
      <c r="F1" s="62" t="s">
        <v>326</v>
      </c>
      <c r="G1" s="62"/>
      <c r="H1" s="62"/>
      <c r="I1" s="62"/>
    </row>
    <row r="2" spans="1:31" x14ac:dyDescent="0.25">
      <c r="A2" s="1" t="s">
        <v>319</v>
      </c>
      <c r="B2" s="2" t="s">
        <v>14</v>
      </c>
      <c r="F2" s="31" t="s">
        <v>23</v>
      </c>
      <c r="G2" s="31" t="s">
        <v>19</v>
      </c>
      <c r="H2" s="31" t="s">
        <v>21</v>
      </c>
      <c r="I2" s="31" t="s">
        <v>20</v>
      </c>
      <c r="L2" s="12"/>
      <c r="M2" s="12"/>
      <c r="P2" s="2"/>
      <c r="Q2" s="61"/>
      <c r="R2" s="61"/>
      <c r="S2" s="61"/>
      <c r="V2" s="2"/>
      <c r="W2" s="61"/>
      <c r="X2" s="61"/>
      <c r="Y2" s="61"/>
      <c r="AB2" s="2"/>
      <c r="AC2" s="61"/>
      <c r="AD2" s="61"/>
      <c r="AE2" s="61"/>
    </row>
    <row r="3" spans="1:31" x14ac:dyDescent="0.25">
      <c r="A3" s="1" t="s">
        <v>1</v>
      </c>
      <c r="B3" s="5">
        <v>10000000</v>
      </c>
      <c r="C3" t="s">
        <v>13</v>
      </c>
      <c r="E3" s="1" t="s">
        <v>24</v>
      </c>
      <c r="F3" s="7">
        <f>$B$8/($B$3*$B$23)</f>
        <v>9.9999999999999863E-3</v>
      </c>
      <c r="G3" s="7">
        <f>$B$8/($B$4*$B$23)</f>
        <v>8.3333333333333228E-3</v>
      </c>
      <c r="H3" s="7">
        <f>$B$8/($B$5*$B$23)</f>
        <v>6.6666666666666576E-3</v>
      </c>
      <c r="I3" s="7">
        <f>$B$8/($B$6*$B$23)</f>
        <v>3.3333333333333288E-3</v>
      </c>
      <c r="P3" s="2"/>
      <c r="Q3" s="10"/>
      <c r="V3" s="2"/>
      <c r="W3" s="10"/>
      <c r="AB3" s="2"/>
      <c r="AC3" s="10"/>
    </row>
    <row r="4" spans="1:31" ht="15.75" thickBot="1" x14ac:dyDescent="0.3">
      <c r="A4" s="1" t="s">
        <v>4</v>
      </c>
      <c r="B4" s="4">
        <v>12000000</v>
      </c>
      <c r="C4" t="s">
        <v>13</v>
      </c>
      <c r="E4" s="1" t="s">
        <v>17</v>
      </c>
      <c r="F4" s="10">
        <f>2*(SQRT(F3/PI()))</f>
        <v>0.11283791670955118</v>
      </c>
      <c r="G4" s="10">
        <f>2*(SQRT(G3/PI()))</f>
        <v>0.1030064538728505</v>
      </c>
      <c r="H4" s="10">
        <f>2*(SQRT(H3/PI()))</f>
        <v>9.2131773192356062E-2</v>
      </c>
      <c r="I4" s="10">
        <f>2*(SQRT(I3/PI()))</f>
        <v>6.5147001587055942E-2</v>
      </c>
      <c r="P4" s="8"/>
      <c r="Q4" s="10"/>
      <c r="V4" s="8"/>
      <c r="W4" s="10"/>
      <c r="AB4" s="8"/>
      <c r="AC4" s="10"/>
    </row>
    <row r="5" spans="1:31" ht="15.75" thickBot="1" x14ac:dyDescent="0.3">
      <c r="A5" s="1" t="s">
        <v>2</v>
      </c>
      <c r="B5" s="4">
        <v>15000000</v>
      </c>
      <c r="C5" t="s">
        <v>13</v>
      </c>
      <c r="E5" s="1" t="s">
        <v>17</v>
      </c>
      <c r="F5" s="58">
        <f>INDEX('Standard Cables'!$B$2:$C$69,MATCH(F4,'Standard Cables'!$C$2:$C$69,-1),1)</f>
        <v>0.125</v>
      </c>
      <c r="G5" s="58">
        <f>INDEX('Standard Cables'!$B$2:$C$69,MATCH(G4,'Standard Cables'!$C$2:$C$69,-1),1)</f>
        <v>0.109375</v>
      </c>
      <c r="H5" s="58">
        <f>INDEX('Standard Cables'!$B$2:$C$69,MATCH(H4,'Standard Cables'!$C$2:$C$69,-1),1)</f>
        <v>9.375E-2</v>
      </c>
      <c r="I5" s="58">
        <f>INDEX('Standard Cables'!$B$2:$C$69,MATCH(I4,'Standard Cables'!$C$2:$C$69,-1),1)</f>
        <v>7.8125E-2</v>
      </c>
      <c r="P5" s="8"/>
      <c r="Q5" s="10"/>
      <c r="V5" s="8"/>
      <c r="W5" s="10"/>
      <c r="AB5" s="8"/>
      <c r="AC5" s="10"/>
    </row>
    <row r="6" spans="1:31" x14ac:dyDescent="0.25">
      <c r="A6" s="1" t="s">
        <v>3</v>
      </c>
      <c r="B6" s="4">
        <v>30000000</v>
      </c>
      <c r="C6" t="s">
        <v>13</v>
      </c>
      <c r="P6" s="8"/>
      <c r="Q6" s="10"/>
      <c r="V6" s="8"/>
      <c r="W6" s="10"/>
      <c r="AB6" s="8"/>
      <c r="AC6" s="10"/>
    </row>
    <row r="7" spans="1:31" ht="15.75" thickBot="1" x14ac:dyDescent="0.3">
      <c r="A7" s="1" t="s">
        <v>15</v>
      </c>
      <c r="B7" s="5">
        <v>5</v>
      </c>
      <c r="C7" t="s">
        <v>16</v>
      </c>
      <c r="F7" s="62" t="s">
        <v>327</v>
      </c>
      <c r="G7" s="62"/>
      <c r="H7" s="62"/>
      <c r="I7" s="62"/>
      <c r="P7" s="2"/>
      <c r="Q7" s="10"/>
      <c r="V7" s="2"/>
      <c r="W7" s="10"/>
      <c r="AB7" s="2"/>
      <c r="AC7" s="10"/>
    </row>
    <row r="8" spans="1:31" ht="15.75" thickBot="1" x14ac:dyDescent="0.3">
      <c r="A8" s="1" t="s">
        <v>325</v>
      </c>
      <c r="B8" s="53">
        <f>B7*2000</f>
        <v>10000</v>
      </c>
      <c r="C8" t="s">
        <v>0</v>
      </c>
      <c r="F8" s="50" t="s">
        <v>23</v>
      </c>
      <c r="G8" s="50" t="s">
        <v>19</v>
      </c>
      <c r="H8" s="50" t="s">
        <v>21</v>
      </c>
      <c r="I8" s="50" t="s">
        <v>20</v>
      </c>
      <c r="K8" s="18"/>
      <c r="L8" s="18"/>
      <c r="M8" s="18"/>
      <c r="P8" s="8"/>
      <c r="Q8" s="10"/>
      <c r="V8" s="8"/>
      <c r="W8" s="10"/>
      <c r="AB8" s="8"/>
      <c r="AC8" s="10"/>
    </row>
    <row r="9" spans="1:31" x14ac:dyDescent="0.25">
      <c r="E9" s="1" t="s">
        <v>24</v>
      </c>
      <c r="F9" s="7">
        <f>$B$10/($B$3*$B$23)</f>
        <v>6.7564863156729183E-3</v>
      </c>
      <c r="G9" s="7">
        <f>$B$10/($B$4*$B$23)</f>
        <v>5.6304052630607657E-3</v>
      </c>
      <c r="H9" s="7">
        <f>$B$10/($B$5*$B$23)</f>
        <v>4.5043242104486122E-3</v>
      </c>
      <c r="I9" s="7">
        <f>$B$10/($B$6*$B$23)</f>
        <v>2.2521621052243061E-3</v>
      </c>
      <c r="P9" s="8"/>
      <c r="Q9" s="10"/>
      <c r="V9" s="8"/>
      <c r="W9" s="10"/>
      <c r="AB9" s="8"/>
      <c r="AC9" s="10"/>
    </row>
    <row r="10" spans="1:31" ht="15.75" thickBot="1" x14ac:dyDescent="0.3">
      <c r="A10" s="1" t="s">
        <v>324</v>
      </c>
      <c r="B10" s="5">
        <f>'Truck on Earth'!U7</f>
        <v>6756.486315672928</v>
      </c>
      <c r="C10" s="29" t="s">
        <v>0</v>
      </c>
      <c r="E10" s="1" t="s">
        <v>17</v>
      </c>
      <c r="F10" s="10">
        <f>2*(SQRT(F9/PI()))</f>
        <v>9.2750339948577787E-2</v>
      </c>
      <c r="G10" s="10">
        <f>2*(SQRT(G9/PI()))</f>
        <v>8.4669089010180998E-2</v>
      </c>
      <c r="H10" s="10">
        <f>2*(SQRT(H9/PI()))</f>
        <v>7.5730335447898048E-2</v>
      </c>
      <c r="I10" s="10">
        <f>2*(SQRT(I9/PI()))</f>
        <v>5.3549433736740683E-2</v>
      </c>
      <c r="K10" s="18"/>
      <c r="L10" s="18"/>
      <c r="M10" s="18"/>
      <c r="P10" s="8"/>
      <c r="Q10" s="10"/>
      <c r="V10" s="8"/>
      <c r="W10" s="10"/>
      <c r="AB10" s="8"/>
      <c r="AC10" s="10"/>
    </row>
    <row r="11" spans="1:31" ht="15.75" thickBot="1" x14ac:dyDescent="0.3">
      <c r="A11" s="1" t="s">
        <v>330</v>
      </c>
      <c r="B11" s="3">
        <f>'Truck on Earth'!U8</f>
        <v>289.51874291658561</v>
      </c>
      <c r="C11" t="s">
        <v>44</v>
      </c>
      <c r="E11" s="1" t="s">
        <v>17</v>
      </c>
      <c r="F11" s="58">
        <f>INDEX('Standard Cables'!$B$2:$C$69,MATCH(F10,'Standard Cables'!$C$2:$C$69,-1),1)</f>
        <v>9.375E-2</v>
      </c>
      <c r="G11" s="58">
        <f>INDEX('Standard Cables'!$B$2:$C$69,MATCH(G10,'Standard Cables'!$C$2:$C$69,-1),1)</f>
        <v>9.375E-2</v>
      </c>
      <c r="H11" s="58">
        <f>INDEX('Standard Cables'!$B$2:$C$69,MATCH(H10,'Standard Cables'!$C$2:$C$69,-1),1)</f>
        <v>7.8125E-2</v>
      </c>
      <c r="I11" s="58">
        <f>INDEX('Standard Cables'!$B$2:$C$69,MATCH(I10,'Standard Cables'!$C$2:$C$69,-1),1)</f>
        <v>6.25E-2</v>
      </c>
      <c r="P11" s="8"/>
      <c r="Q11" s="10"/>
      <c r="V11" s="8"/>
      <c r="W11" s="10"/>
      <c r="AB11" s="8"/>
      <c r="AC11" s="10"/>
    </row>
    <row r="12" spans="1:31" x14ac:dyDescent="0.25">
      <c r="A12" s="1" t="s">
        <v>331</v>
      </c>
      <c r="B12" s="43">
        <v>4</v>
      </c>
      <c r="P12" s="9"/>
      <c r="Q12" s="10"/>
      <c r="V12" s="9"/>
      <c r="W12" s="10"/>
      <c r="AB12" s="9"/>
      <c r="AC12" s="10"/>
    </row>
    <row r="13" spans="1:31" ht="15.75" thickBot="1" x14ac:dyDescent="0.3">
      <c r="P13" s="8"/>
      <c r="Q13" s="10"/>
      <c r="V13" s="8"/>
      <c r="W13" s="10"/>
      <c r="AB13" s="8"/>
      <c r="AC13" s="10"/>
    </row>
    <row r="14" spans="1:31" ht="15.75" thickBot="1" x14ac:dyDescent="0.3">
      <c r="A14" s="1" t="s">
        <v>329</v>
      </c>
      <c r="B14" s="53">
        <v>25</v>
      </c>
      <c r="C14" t="s">
        <v>6</v>
      </c>
      <c r="P14" s="9"/>
      <c r="Q14" s="10"/>
      <c r="V14" s="9"/>
      <c r="W14" s="10"/>
      <c r="AB14" s="9"/>
      <c r="AC14" s="10"/>
    </row>
    <row r="15" spans="1:31" x14ac:dyDescent="0.25">
      <c r="A15" s="1" t="s">
        <v>18</v>
      </c>
      <c r="B15" s="6">
        <v>0.1</v>
      </c>
      <c r="P15" s="9"/>
      <c r="Q15" s="10"/>
      <c r="V15" s="9"/>
      <c r="W15" s="10"/>
      <c r="AB15" s="9"/>
      <c r="AC15" s="10"/>
    </row>
    <row r="16" spans="1:31" x14ac:dyDescent="0.25">
      <c r="A16" s="1" t="s">
        <v>12</v>
      </c>
      <c r="B16" s="2">
        <f>B14*(1+B15)</f>
        <v>27.500000000000004</v>
      </c>
      <c r="C16" t="s">
        <v>6</v>
      </c>
      <c r="P16" s="9"/>
      <c r="Q16" s="10"/>
      <c r="V16" s="9"/>
      <c r="W16" s="10"/>
      <c r="AB16" s="9"/>
      <c r="AC16" s="10"/>
    </row>
    <row r="17" spans="1:17" x14ac:dyDescent="0.25">
      <c r="A17" s="1" t="s">
        <v>7</v>
      </c>
      <c r="P17" s="2"/>
      <c r="Q17" s="2"/>
    </row>
    <row r="18" spans="1:17" x14ac:dyDescent="0.25">
      <c r="A18" s="1" t="s">
        <v>8</v>
      </c>
    </row>
    <row r="19" spans="1:17" x14ac:dyDescent="0.25">
      <c r="A19" s="1" t="s">
        <v>9</v>
      </c>
      <c r="F19" s="1"/>
    </row>
    <row r="20" spans="1:17" x14ac:dyDescent="0.25">
      <c r="A20" s="1" t="s">
        <v>10</v>
      </c>
      <c r="F20" s="62" t="s">
        <v>332</v>
      </c>
      <c r="G20" s="61"/>
      <c r="H20" s="62" t="s">
        <v>333</v>
      </c>
      <c r="I20" s="62"/>
    </row>
    <row r="21" spans="1:17" ht="17.25" x14ac:dyDescent="0.25">
      <c r="F21" s="42" t="s">
        <v>300</v>
      </c>
      <c r="G21" s="44" t="s">
        <v>328</v>
      </c>
      <c r="H21" s="43" t="s">
        <v>300</v>
      </c>
      <c r="I21" s="44" t="s">
        <v>328</v>
      </c>
    </row>
    <row r="22" spans="1:17" x14ac:dyDescent="0.25">
      <c r="A22" s="1" t="s">
        <v>11</v>
      </c>
      <c r="B22" s="6">
        <f>B15</f>
        <v>0.1</v>
      </c>
      <c r="E22" s="1" t="str">
        <f>F2</f>
        <v>Aluminum</v>
      </c>
      <c r="F22" s="9">
        <f>F5</f>
        <v>0.125</v>
      </c>
      <c r="G22" s="3">
        <f>(PI()*(F22/2)^2)*($B$14*12)</f>
        <v>3.6815538909255388</v>
      </c>
      <c r="H22" s="9">
        <f>F11</f>
        <v>9.375E-2</v>
      </c>
      <c r="I22" s="3">
        <f>(PI()*(H22/2)^2)*($B$11*$B$12)</f>
        <v>7.9940914086031993</v>
      </c>
    </row>
    <row r="23" spans="1:17" x14ac:dyDescent="0.25">
      <c r="A23" s="1" t="s">
        <v>22</v>
      </c>
      <c r="B23" s="3">
        <f>(B16-B14)/B14</f>
        <v>0.10000000000000014</v>
      </c>
      <c r="E23" s="1" t="str">
        <f>G2</f>
        <v xml:space="preserve">Titanium </v>
      </c>
      <c r="F23" s="9">
        <f>G5</f>
        <v>0.109375</v>
      </c>
      <c r="G23" s="3">
        <f>(PI()*(F23/2)^2)*($B$14*12)</f>
        <v>2.8186896977398654</v>
      </c>
      <c r="H23" s="9">
        <f>G11</f>
        <v>9.375E-2</v>
      </c>
      <c r="I23" s="3">
        <f>(PI()*(H23/2)^2)*($B$11*$B$12)</f>
        <v>7.9940914086031993</v>
      </c>
    </row>
    <row r="24" spans="1:17" ht="15.75" thickBot="1" x14ac:dyDescent="0.3">
      <c r="E24" s="1" t="str">
        <f>H2</f>
        <v>Copper</v>
      </c>
      <c r="F24" s="9">
        <f>H5</f>
        <v>9.375E-2</v>
      </c>
      <c r="G24" s="3">
        <f>(PI()*(F24/2)^2)*($B$14*12)</f>
        <v>2.0708740636456158</v>
      </c>
      <c r="H24" s="9">
        <f>H11</f>
        <v>7.8125E-2</v>
      </c>
      <c r="I24" s="3">
        <f>(PI()*(H24/2)^2)*($B$11*$B$12)</f>
        <v>5.5514523670855551</v>
      </c>
    </row>
    <row r="25" spans="1:17" ht="15.75" thickBot="1" x14ac:dyDescent="0.3">
      <c r="A25" s="1" t="s">
        <v>306</v>
      </c>
      <c r="B25" s="48">
        <v>20</v>
      </c>
      <c r="C25" s="17" t="s">
        <v>41</v>
      </c>
      <c r="E25" s="1" t="str">
        <f>I2</f>
        <v>Steel</v>
      </c>
      <c r="F25" s="9">
        <f>I5</f>
        <v>7.8125E-2</v>
      </c>
      <c r="G25" s="3">
        <f>(PI()*(F25/2)^2)*($B$14*12)</f>
        <v>1.4381069886427886</v>
      </c>
      <c r="H25" s="9">
        <f>I11</f>
        <v>6.25E-2</v>
      </c>
      <c r="I25" s="3">
        <f>(PI()*(H25/2)^2)*($B$11*$B$12)</f>
        <v>3.5529295149347551</v>
      </c>
    </row>
    <row r="26" spans="1:17" ht="15.75" thickBot="1" x14ac:dyDescent="0.3">
      <c r="A26" s="1" t="s">
        <v>308</v>
      </c>
      <c r="B26" s="48">
        <v>125</v>
      </c>
      <c r="C26" s="17" t="s">
        <v>42</v>
      </c>
    </row>
    <row r="27" spans="1:17" ht="15.75" thickBot="1" x14ac:dyDescent="0.3">
      <c r="A27" s="1" t="s">
        <v>307</v>
      </c>
      <c r="B27" s="48">
        <v>-40</v>
      </c>
      <c r="C27" s="17" t="s">
        <v>41</v>
      </c>
    </row>
    <row r="28" spans="1:17" ht="15.75" thickBot="1" x14ac:dyDescent="0.3"/>
    <row r="29" spans="1:17" ht="15.75" thickBot="1" x14ac:dyDescent="0.3">
      <c r="A29" s="1" t="s">
        <v>323</v>
      </c>
      <c r="B29" s="53">
        <v>100000</v>
      </c>
    </row>
  </sheetData>
  <mergeCells count="7">
    <mergeCell ref="W2:Y2"/>
    <mergeCell ref="AC2:AE2"/>
    <mergeCell ref="F1:I1"/>
    <mergeCell ref="F7:I7"/>
    <mergeCell ref="F20:G20"/>
    <mergeCell ref="H20:I20"/>
    <mergeCell ref="Q2:S2"/>
  </mergeCells>
  <pageMargins left="0.7" right="0.7" top="0.75" bottom="0.75" header="0.3" footer="0.3"/>
  <pageSetup orientation="portrait" r:id="rId1"/>
  <drawing r:id="rId2"/>
  <legacyDrawing r:id="rId3"/>
  <oleObjects>
    <mc:AlternateContent xmlns:mc="http://schemas.openxmlformats.org/markup-compatibility/2006">
      <mc:Choice Requires="x14">
        <oleObject shapeId="1027" r:id="rId4">
          <objectPr defaultSize="0" r:id="rId5">
            <anchor moveWithCells="1">
              <from>
                <xdr:col>12</xdr:col>
                <xdr:colOff>19050</xdr:colOff>
                <xdr:row>2</xdr:row>
                <xdr:rowOff>9525</xdr:rowOff>
              </from>
              <to>
                <xdr:col>22</xdr:col>
                <xdr:colOff>19050</xdr:colOff>
                <xdr:row>22</xdr:row>
                <xdr:rowOff>123825</xdr:rowOff>
              </to>
            </anchor>
          </objectPr>
        </oleObject>
      </mc:Choice>
      <mc:Fallback>
        <oleObject shapeId="102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sheetPr>
  <dimension ref="B2:F34"/>
  <sheetViews>
    <sheetView workbookViewId="0">
      <selection activeCell="N37" sqref="N37"/>
    </sheetView>
  </sheetViews>
  <sheetFormatPr defaultColWidth="9.140625" defaultRowHeight="15" x14ac:dyDescent="0.25"/>
  <cols>
    <col min="1" max="1" width="2.7109375" style="29" customWidth="1"/>
    <col min="2" max="2" width="8.85546875" style="29" bestFit="1" customWidth="1"/>
    <col min="3" max="3" width="14.140625" style="43" bestFit="1" customWidth="1"/>
    <col min="4" max="4" width="14" style="43" bestFit="1" customWidth="1"/>
    <col min="5" max="5" width="18.140625" style="43" bestFit="1" customWidth="1"/>
    <col min="6" max="6" width="9.140625" style="43"/>
    <col min="7" max="16384" width="9.140625" style="29"/>
  </cols>
  <sheetData>
    <row r="2" spans="2:6" x14ac:dyDescent="0.25">
      <c r="B2" s="47" t="s">
        <v>317</v>
      </c>
      <c r="C2" s="43" t="s">
        <v>254</v>
      </c>
      <c r="D2" s="43" t="s">
        <v>255</v>
      </c>
      <c r="E2" s="43" t="s">
        <v>256</v>
      </c>
      <c r="F2" s="43" t="s">
        <v>257</v>
      </c>
    </row>
    <row r="3" spans="2:6" x14ac:dyDescent="0.25">
      <c r="B3" s="1" t="s">
        <v>124</v>
      </c>
      <c r="C3" s="34">
        <v>-183</v>
      </c>
      <c r="D3" s="34">
        <v>427</v>
      </c>
    </row>
    <row r="4" spans="2:6" x14ac:dyDescent="0.25">
      <c r="B4" s="1" t="s">
        <v>227</v>
      </c>
      <c r="E4" s="43">
        <v>480</v>
      </c>
    </row>
    <row r="5" spans="2:6" x14ac:dyDescent="0.25">
      <c r="B5" s="1" t="s">
        <v>228</v>
      </c>
      <c r="E5" s="43">
        <v>14</v>
      </c>
    </row>
    <row r="6" spans="2:6" x14ac:dyDescent="0.25">
      <c r="B6" s="1" t="s">
        <v>229</v>
      </c>
      <c r="C6" s="43">
        <v>-123</v>
      </c>
      <c r="D6" s="43">
        <v>123</v>
      </c>
      <c r="F6" s="35">
        <v>1</v>
      </c>
    </row>
    <row r="7" spans="2:6" x14ac:dyDescent="0.25">
      <c r="B7" s="1" t="s">
        <v>230</v>
      </c>
      <c r="C7" s="43">
        <v>-125</v>
      </c>
      <c r="D7" s="43">
        <v>20</v>
      </c>
      <c r="F7" s="35">
        <v>3</v>
      </c>
    </row>
    <row r="8" spans="2:6" x14ac:dyDescent="0.25">
      <c r="B8" s="1" t="s">
        <v>231</v>
      </c>
    </row>
    <row r="9" spans="2:6" x14ac:dyDescent="0.25">
      <c r="B9" s="1" t="s">
        <v>232</v>
      </c>
    </row>
    <row r="10" spans="2:6" x14ac:dyDescent="0.25">
      <c r="B10" s="1" t="s">
        <v>233</v>
      </c>
    </row>
    <row r="11" spans="2:6" x14ac:dyDescent="0.25">
      <c r="B11" s="1" t="s">
        <v>234</v>
      </c>
    </row>
    <row r="12" spans="2:6" x14ac:dyDescent="0.25">
      <c r="B12" s="1" t="s">
        <v>235</v>
      </c>
      <c r="C12" s="43">
        <v>-233</v>
      </c>
      <c r="D12" s="43">
        <v>-223</v>
      </c>
      <c r="F12" s="35">
        <v>2</v>
      </c>
    </row>
    <row r="13" spans="2:6" x14ac:dyDescent="0.25">
      <c r="B13" s="1"/>
    </row>
    <row r="14" spans="2:6" x14ac:dyDescent="0.25">
      <c r="B14" s="1"/>
    </row>
    <row r="16" spans="2:6" x14ac:dyDescent="0.25">
      <c r="B16" s="1"/>
    </row>
    <row r="17" spans="2:2" x14ac:dyDescent="0.25">
      <c r="B17" s="1"/>
    </row>
    <row r="18" spans="2:2" x14ac:dyDescent="0.25">
      <c r="B18" s="1"/>
    </row>
    <row r="32" spans="2:2" x14ac:dyDescent="0.25">
      <c r="B32" s="1"/>
    </row>
    <row r="33" spans="2:2" x14ac:dyDescent="0.25">
      <c r="B33" s="1"/>
    </row>
    <row r="34" spans="2:2" x14ac:dyDescent="0.25">
      <c r="B34" s="1"/>
    </row>
  </sheetData>
  <hyperlinks>
    <hyperlink ref="F6" r:id="rId1" display="http://www.space.com/18175-moon-temperature.html"/>
    <hyperlink ref="F12" r:id="rId2" display="http://www.space.com/18563-pluto-temperature.html"/>
    <hyperlink ref="F7" r:id="rId3" display="http://www.space.com/47-mars-the-red-planet-fourth-planet-from-the-sun.html"/>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0000CC"/>
  </sheetPr>
  <dimension ref="A2:J46"/>
  <sheetViews>
    <sheetView workbookViewId="0">
      <selection activeCell="K33" sqref="K33"/>
    </sheetView>
  </sheetViews>
  <sheetFormatPr defaultRowHeight="15" x14ac:dyDescent="0.25"/>
  <cols>
    <col min="1" max="1" width="2.7109375" style="29" customWidth="1"/>
    <col min="2" max="2" width="8.85546875" bestFit="1" customWidth="1"/>
    <col min="3" max="3" width="10" customWidth="1"/>
    <col min="4" max="4" width="2.7109375" customWidth="1"/>
    <col min="5" max="5" width="10" style="12" customWidth="1"/>
    <col min="6" max="6" width="14" style="12" customWidth="1"/>
    <col min="7" max="7" width="13.42578125" customWidth="1"/>
    <col min="8" max="8" width="8.5703125" customWidth="1"/>
    <col min="9" max="9" width="10.28515625" bestFit="1" customWidth="1"/>
    <col min="10" max="10" width="67" bestFit="1" customWidth="1"/>
  </cols>
  <sheetData>
    <row r="2" spans="2:10" ht="45" x14ac:dyDescent="0.25">
      <c r="B2" s="47" t="s">
        <v>317</v>
      </c>
      <c r="C2" s="46" t="s">
        <v>316</v>
      </c>
      <c r="E2" s="12" t="s">
        <v>222</v>
      </c>
      <c r="F2" s="12" t="s">
        <v>224</v>
      </c>
      <c r="G2" t="s">
        <v>225</v>
      </c>
      <c r="H2" s="43" t="s">
        <v>226</v>
      </c>
      <c r="I2" s="46" t="s">
        <v>318</v>
      </c>
      <c r="J2" s="22" t="s">
        <v>249</v>
      </c>
    </row>
    <row r="3" spans="2:10" x14ac:dyDescent="0.25">
      <c r="B3" s="1" t="s">
        <v>124</v>
      </c>
      <c r="C3">
        <v>0.38</v>
      </c>
      <c r="E3" s="12">
        <f>0.33*10^24</f>
        <v>3.3000000000000003E+23</v>
      </c>
      <c r="F3" s="23">
        <v>4879</v>
      </c>
      <c r="G3" s="24">
        <v>3.7</v>
      </c>
      <c r="H3" s="13">
        <f t="shared" ref="H3:H12" si="0">$E$14*E3/((F3/2)^2)</f>
        <v>3700824.5576986438</v>
      </c>
      <c r="I3" s="3">
        <f>H3/$H$5</f>
        <v>0.37783918314721759</v>
      </c>
      <c r="J3" s="22" t="s">
        <v>250</v>
      </c>
    </row>
    <row r="4" spans="2:10" x14ac:dyDescent="0.25">
      <c r="B4" s="1" t="s">
        <v>227</v>
      </c>
      <c r="C4">
        <v>0.91</v>
      </c>
      <c r="E4" s="12">
        <f>4.87*10^24</f>
        <v>4.8699999999999996E+24</v>
      </c>
      <c r="F4" s="23">
        <v>12104</v>
      </c>
      <c r="G4" s="24">
        <v>8.9</v>
      </c>
      <c r="H4" s="13">
        <f t="shared" si="0"/>
        <v>8873957.0997160953</v>
      </c>
      <c r="I4" s="3">
        <f t="shared" ref="I4:I12" si="1">H4/$H$5</f>
        <v>0.90599504233867256</v>
      </c>
    </row>
    <row r="5" spans="2:10" x14ac:dyDescent="0.25">
      <c r="B5" s="1" t="s">
        <v>228</v>
      </c>
      <c r="C5">
        <v>1</v>
      </c>
      <c r="E5" s="12">
        <f>5.97*10^24</f>
        <v>5.9699999999999992E+24</v>
      </c>
      <c r="F5" s="23">
        <v>12756</v>
      </c>
      <c r="G5" s="24">
        <v>9.8000000000000007</v>
      </c>
      <c r="H5" s="13">
        <f t="shared" si="0"/>
        <v>9794708.232408734</v>
      </c>
      <c r="I5" s="43">
        <f t="shared" si="1"/>
        <v>1</v>
      </c>
    </row>
    <row r="6" spans="2:10" x14ac:dyDescent="0.25">
      <c r="B6" s="1" t="s">
        <v>229</v>
      </c>
      <c r="C6">
        <v>0.16500000000000001</v>
      </c>
      <c r="E6" s="12">
        <f>0.073*10^24</f>
        <v>7.2999999999999998E+22</v>
      </c>
      <c r="F6" s="23">
        <v>3475</v>
      </c>
      <c r="G6" s="24">
        <v>1.6</v>
      </c>
      <c r="H6" s="13">
        <f t="shared" si="0"/>
        <v>1613836.1368459186</v>
      </c>
      <c r="I6" s="15">
        <f t="shared" si="1"/>
        <v>0.1647661266219301</v>
      </c>
    </row>
    <row r="7" spans="2:10" x14ac:dyDescent="0.25">
      <c r="B7" s="1" t="s">
        <v>230</v>
      </c>
      <c r="C7">
        <v>0.38</v>
      </c>
      <c r="E7" s="14">
        <f>6.42*10^23</f>
        <v>6.4199999999999991E+23</v>
      </c>
      <c r="F7" s="23">
        <v>6792</v>
      </c>
      <c r="G7" s="24">
        <v>3.7</v>
      </c>
      <c r="H7" s="13">
        <f t="shared" si="0"/>
        <v>3715231.3884137222</v>
      </c>
      <c r="I7" s="3">
        <f t="shared" si="1"/>
        <v>0.37931006215384377</v>
      </c>
    </row>
    <row r="8" spans="2:10" x14ac:dyDescent="0.25">
      <c r="B8" s="1" t="s">
        <v>231</v>
      </c>
      <c r="C8">
        <v>2.34</v>
      </c>
      <c r="E8" s="12">
        <f>1898*10^24</f>
        <v>1.8979999999999999E+27</v>
      </c>
      <c r="F8" s="23">
        <v>142984</v>
      </c>
      <c r="G8" s="24">
        <v>23.1</v>
      </c>
      <c r="H8" s="13">
        <f t="shared" si="0"/>
        <v>24783778.386485852</v>
      </c>
      <c r="I8" s="3">
        <f t="shared" si="1"/>
        <v>2.5303232927838808</v>
      </c>
    </row>
    <row r="9" spans="2:10" x14ac:dyDescent="0.25">
      <c r="B9" s="1" t="s">
        <v>232</v>
      </c>
      <c r="C9">
        <v>1.06</v>
      </c>
      <c r="E9" s="12">
        <f>568*10^24</f>
        <v>5.6800000000000001E+26</v>
      </c>
      <c r="F9" s="23">
        <v>120536</v>
      </c>
      <c r="G9" s="24">
        <v>9</v>
      </c>
      <c r="H9" s="13">
        <f t="shared" si="0"/>
        <v>10436646.623026779</v>
      </c>
      <c r="I9" s="3">
        <f t="shared" si="1"/>
        <v>1.0655393070815524</v>
      </c>
    </row>
    <row r="10" spans="2:10" x14ac:dyDescent="0.25">
      <c r="B10" s="1" t="s">
        <v>233</v>
      </c>
      <c r="C10">
        <v>0.92</v>
      </c>
      <c r="E10" s="12">
        <f>86.8*10^24</f>
        <v>8.6800000000000001E+25</v>
      </c>
      <c r="F10" s="23">
        <v>51118</v>
      </c>
      <c r="G10" s="24">
        <v>8.6999999999999993</v>
      </c>
      <c r="H10" s="13">
        <f t="shared" si="0"/>
        <v>8867847.409715239</v>
      </c>
      <c r="I10" s="3">
        <f t="shared" si="1"/>
        <v>0.90537126776000354</v>
      </c>
    </row>
    <row r="11" spans="2:10" x14ac:dyDescent="0.25">
      <c r="B11" s="1" t="s">
        <v>234</v>
      </c>
      <c r="C11">
        <v>1.19</v>
      </c>
      <c r="E11" s="12">
        <f>102*10^24</f>
        <v>1.0199999999999999E+26</v>
      </c>
      <c r="F11" s="23">
        <v>49528</v>
      </c>
      <c r="G11" s="24">
        <v>11</v>
      </c>
      <c r="H11" s="13">
        <f t="shared" si="0"/>
        <v>11100557.311415497</v>
      </c>
      <c r="I11" s="3">
        <f t="shared" si="1"/>
        <v>1.133321896683555</v>
      </c>
    </row>
    <row r="12" spans="2:10" x14ac:dyDescent="0.25">
      <c r="B12" s="1" t="s">
        <v>235</v>
      </c>
      <c r="C12">
        <v>0.06</v>
      </c>
      <c r="E12" s="12">
        <f>0.0131*10^24</f>
        <v>1.3100000000000001E+22</v>
      </c>
      <c r="F12" s="23">
        <v>2390</v>
      </c>
      <c r="G12" s="24">
        <v>0.6</v>
      </c>
      <c r="H12" s="13">
        <f t="shared" si="0"/>
        <v>612239.98179303587</v>
      </c>
      <c r="I12" s="3">
        <f t="shared" si="1"/>
        <v>6.2507219946302844E-2</v>
      </c>
    </row>
    <row r="13" spans="2:10" s="29" customFormat="1" x14ac:dyDescent="0.25">
      <c r="B13" s="1"/>
      <c r="E13" s="30"/>
      <c r="F13" s="23"/>
      <c r="G13" s="24"/>
      <c r="H13" s="13"/>
      <c r="I13" s="25"/>
    </row>
    <row r="14" spans="2:10" x14ac:dyDescent="0.25">
      <c r="B14" s="64" t="s">
        <v>223</v>
      </c>
      <c r="C14" s="63"/>
      <c r="D14" s="63"/>
      <c r="E14">
        <f>6.674*10^-11</f>
        <v>6.6739999999999994E-11</v>
      </c>
      <c r="G14" s="1"/>
    </row>
    <row r="15" spans="2:10" s="29" customFormat="1" x14ac:dyDescent="0.25">
      <c r="B15" s="1"/>
      <c r="C15" s="12"/>
      <c r="E15" s="12"/>
      <c r="F15" s="12"/>
      <c r="G15"/>
      <c r="H15"/>
      <c r="I15"/>
    </row>
    <row r="16" spans="2:10" s="29" customFormat="1" x14ac:dyDescent="0.25">
      <c r="B16" s="1"/>
      <c r="C16" s="15"/>
      <c r="E16" s="12"/>
      <c r="F16" s="12"/>
      <c r="G16" s="1"/>
      <c r="H16" s="12"/>
      <c r="I16" s="15"/>
    </row>
    <row r="17" spans="2:9" s="29" customFormat="1" x14ac:dyDescent="0.25">
      <c r="B17" s="1"/>
      <c r="C17" s="15"/>
      <c r="E17" s="12"/>
      <c r="F17" s="12"/>
      <c r="G17"/>
      <c r="H17"/>
      <c r="I17"/>
    </row>
    <row r="18" spans="2:9" s="29" customFormat="1" x14ac:dyDescent="0.25">
      <c r="B18" s="1"/>
      <c r="C18" s="15"/>
      <c r="E18" s="12"/>
      <c r="F18" s="12"/>
      <c r="G18" s="1"/>
      <c r="H18" s="15"/>
      <c r="I18" s="12"/>
    </row>
    <row r="19" spans="2:9" s="29" customFormat="1" x14ac:dyDescent="0.25">
      <c r="B19" s="1"/>
      <c r="C19" s="15"/>
      <c r="E19" s="12"/>
      <c r="F19" s="12"/>
      <c r="G19" s="1"/>
      <c r="H19" s="15"/>
      <c r="I19" s="12"/>
    </row>
    <row r="20" spans="2:9" s="29" customFormat="1" x14ac:dyDescent="0.25">
      <c r="B20" s="1"/>
      <c r="C20" s="15"/>
      <c r="E20" s="12"/>
      <c r="F20" s="12"/>
      <c r="G20"/>
      <c r="H20"/>
      <c r="I20"/>
    </row>
    <row r="21" spans="2:9" s="29" customFormat="1" x14ac:dyDescent="0.25">
      <c r="B21" s="1"/>
      <c r="C21" s="15"/>
      <c r="E21" s="30"/>
      <c r="F21" s="30"/>
      <c r="G21" s="1"/>
      <c r="H21" s="5"/>
      <c r="I21" s="12"/>
    </row>
    <row r="22" spans="2:9" s="29" customFormat="1" x14ac:dyDescent="0.25">
      <c r="B22" s="1"/>
      <c r="C22" s="12"/>
      <c r="E22" s="12"/>
      <c r="F22" s="12"/>
      <c r="G22"/>
      <c r="H22"/>
      <c r="I22"/>
    </row>
    <row r="23" spans="2:9" s="29" customFormat="1" x14ac:dyDescent="0.25">
      <c r="B23" s="1"/>
      <c r="C23" s="15"/>
      <c r="E23" s="12"/>
      <c r="F23" s="12"/>
      <c r="G23" s="1"/>
      <c r="H23" s="27"/>
      <c r="I23"/>
    </row>
    <row r="24" spans="2:9" s="29" customFormat="1" x14ac:dyDescent="0.25">
      <c r="B24" s="1"/>
      <c r="C24" s="15"/>
      <c r="E24" s="12"/>
      <c r="F24" s="12"/>
      <c r="G24" s="1"/>
      <c r="H24" s="27"/>
      <c r="I24"/>
    </row>
    <row r="25" spans="2:9" s="29" customFormat="1" x14ac:dyDescent="0.25">
      <c r="B25" s="1"/>
      <c r="C25" s="15"/>
      <c r="E25" s="12"/>
      <c r="F25" s="12"/>
      <c r="G25" s="1"/>
      <c r="H25" s="27"/>
      <c r="I25"/>
    </row>
    <row r="26" spans="2:9" s="29" customFormat="1" x14ac:dyDescent="0.25">
      <c r="B26" s="1"/>
      <c r="C26" s="15"/>
      <c r="E26" s="12"/>
      <c r="F26" s="12"/>
      <c r="G26" s="1"/>
      <c r="H26" s="27"/>
    </row>
    <row r="27" spans="2:9" s="29" customFormat="1" x14ac:dyDescent="0.25">
      <c r="E27" s="12"/>
      <c r="F27" s="12"/>
    </row>
    <row r="28" spans="2:9" x14ac:dyDescent="0.25">
      <c r="B28" s="1"/>
      <c r="C28" s="28"/>
    </row>
    <row r="29" spans="2:9" s="29" customFormat="1" x14ac:dyDescent="0.25">
      <c r="B29" s="1"/>
      <c r="C29" s="28"/>
      <c r="E29" s="12"/>
      <c r="F29" s="12"/>
    </row>
    <row r="30" spans="2:9" s="29" customFormat="1" x14ac:dyDescent="0.25">
      <c r="B30" s="1"/>
      <c r="C30" s="4"/>
      <c r="E30" s="12"/>
      <c r="F30" s="12"/>
    </row>
    <row r="43" spans="2:6" s="29" customFormat="1" x14ac:dyDescent="0.25">
      <c r="E43" s="12"/>
      <c r="F43" s="12"/>
    </row>
    <row r="44" spans="2:6" x14ac:dyDescent="0.25">
      <c r="B44" s="1"/>
      <c r="C44" s="12"/>
      <c r="D44" s="29"/>
    </row>
    <row r="45" spans="2:6" x14ac:dyDescent="0.25">
      <c r="B45" s="1"/>
      <c r="C45" s="15"/>
      <c r="D45" s="29"/>
    </row>
    <row r="46" spans="2:6" x14ac:dyDescent="0.25">
      <c r="B46" s="1"/>
      <c r="C46" s="15"/>
      <c r="D46" s="29"/>
    </row>
  </sheetData>
  <mergeCells count="1">
    <mergeCell ref="B14:D14"/>
  </mergeCells>
  <hyperlinks>
    <hyperlink ref="J2" r:id="rId1"/>
    <hyperlink ref="J3" r:id="rId2"/>
  </hyperlink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00CC"/>
  </sheetPr>
  <dimension ref="A1:K39"/>
  <sheetViews>
    <sheetView topLeftCell="A4" workbookViewId="0">
      <selection activeCell="X35" sqref="X35"/>
    </sheetView>
  </sheetViews>
  <sheetFormatPr defaultRowHeight="15" x14ac:dyDescent="0.25"/>
  <cols>
    <col min="1" max="1" width="2.7109375" style="29" customWidth="1"/>
    <col min="2" max="2" width="19.7109375" bestFit="1" customWidth="1"/>
    <col min="3" max="3" width="8" style="32" bestFit="1" customWidth="1"/>
    <col min="4" max="4" width="8.28515625" style="32" bestFit="1" customWidth="1"/>
    <col min="7" max="7" width="2" bestFit="1" customWidth="1"/>
    <col min="8" max="8" width="3.140625" bestFit="1" customWidth="1"/>
    <col min="9" max="9" width="2" bestFit="1" customWidth="1"/>
    <col min="10" max="10" width="7.5703125" bestFit="1" customWidth="1"/>
    <col min="11" max="11" width="3.42578125" bestFit="1" customWidth="1"/>
  </cols>
  <sheetData>
    <row r="1" spans="2:11" s="29" customFormat="1" ht="17.25" x14ac:dyDescent="0.25">
      <c r="B1" s="33" t="s">
        <v>252</v>
      </c>
      <c r="C1" s="32" t="s">
        <v>251</v>
      </c>
      <c r="D1" s="32" t="s">
        <v>262</v>
      </c>
      <c r="G1" s="29">
        <v>1</v>
      </c>
      <c r="H1" s="29" t="s">
        <v>259</v>
      </c>
      <c r="I1" s="36" t="s">
        <v>260</v>
      </c>
      <c r="J1" s="25">
        <f>12*13*12</f>
        <v>1872</v>
      </c>
      <c r="K1" s="29" t="s">
        <v>261</v>
      </c>
    </row>
    <row r="2" spans="2:11" x14ac:dyDescent="0.25">
      <c r="B2" s="29" t="s">
        <v>23</v>
      </c>
      <c r="C2" s="32">
        <v>168.48</v>
      </c>
      <c r="D2" s="7">
        <f>C2/$J$1</f>
        <v>0.09</v>
      </c>
    </row>
    <row r="3" spans="2:11" x14ac:dyDescent="0.25">
      <c r="B3" s="29" t="s">
        <v>52</v>
      </c>
      <c r="C3" s="32">
        <v>419.99</v>
      </c>
      <c r="D3" s="7">
        <f t="shared" ref="D3:D39" si="0">C3/$J$1</f>
        <v>0.22435363247863249</v>
      </c>
    </row>
    <row r="4" spans="2:11" x14ac:dyDescent="0.25">
      <c r="B4" s="29" t="s">
        <v>57</v>
      </c>
      <c r="C4" s="32">
        <v>113.7</v>
      </c>
      <c r="D4" s="7">
        <f t="shared" si="0"/>
        <v>6.0737179487179487E-2</v>
      </c>
    </row>
    <row r="5" spans="2:11" x14ac:dyDescent="0.25">
      <c r="B5" s="29" t="s">
        <v>58</v>
      </c>
      <c r="C5" s="32">
        <v>611</v>
      </c>
      <c r="D5" s="7">
        <f t="shared" si="0"/>
        <v>0.3263888888888889</v>
      </c>
    </row>
    <row r="6" spans="2:11" x14ac:dyDescent="0.25">
      <c r="B6" s="29" t="s">
        <v>59</v>
      </c>
      <c r="C6" s="32">
        <v>535.67999999999995</v>
      </c>
      <c r="D6" s="7">
        <f t="shared" si="0"/>
        <v>0.28615384615384615</v>
      </c>
    </row>
    <row r="7" spans="2:11" x14ac:dyDescent="0.25">
      <c r="B7" s="29" t="s">
        <v>236</v>
      </c>
      <c r="C7" s="32">
        <v>481</v>
      </c>
      <c r="D7" s="7">
        <f t="shared" si="0"/>
        <v>0.25694444444444442</v>
      </c>
    </row>
    <row r="8" spans="2:11" x14ac:dyDescent="0.25">
      <c r="B8" s="29" t="s">
        <v>61</v>
      </c>
      <c r="C8" s="32">
        <v>541</v>
      </c>
      <c r="D8" s="7">
        <f t="shared" si="0"/>
        <v>0.28899572649572647</v>
      </c>
    </row>
    <row r="9" spans="2:11" x14ac:dyDescent="0.25">
      <c r="B9" s="29" t="s">
        <v>62</v>
      </c>
      <c r="C9" s="32">
        <v>540.86</v>
      </c>
      <c r="D9" s="7">
        <f t="shared" si="0"/>
        <v>0.28892094017094017</v>
      </c>
    </row>
    <row r="10" spans="2:11" x14ac:dyDescent="0.25">
      <c r="B10" s="29" t="s">
        <v>72</v>
      </c>
      <c r="C10" s="32">
        <v>428</v>
      </c>
      <c r="D10" s="7">
        <f t="shared" si="0"/>
        <v>0.22863247863247863</v>
      </c>
    </row>
    <row r="11" spans="2:11" x14ac:dyDescent="0.25">
      <c r="B11" s="29" t="s">
        <v>74</v>
      </c>
      <c r="C11" s="32">
        <v>552.96</v>
      </c>
      <c r="D11" s="7">
        <f t="shared" si="0"/>
        <v>0.29538461538461541</v>
      </c>
    </row>
    <row r="12" spans="2:11" x14ac:dyDescent="0.25">
      <c r="B12" s="29" t="s">
        <v>21</v>
      </c>
      <c r="C12" s="32">
        <v>559.87</v>
      </c>
      <c r="D12" s="7">
        <f t="shared" si="0"/>
        <v>0.29907585470085468</v>
      </c>
    </row>
    <row r="13" spans="2:11" x14ac:dyDescent="0.25">
      <c r="B13" s="29" t="s">
        <v>97</v>
      </c>
      <c r="C13" s="32">
        <v>1206.83</v>
      </c>
      <c r="D13" s="7">
        <f t="shared" si="0"/>
        <v>0.64467414529914524</v>
      </c>
    </row>
    <row r="14" spans="2:11" x14ac:dyDescent="0.25">
      <c r="B14" s="29" t="s">
        <v>237</v>
      </c>
      <c r="C14" s="32">
        <v>544</v>
      </c>
      <c r="D14" s="7">
        <f t="shared" si="0"/>
        <v>0.29059829059829062</v>
      </c>
    </row>
    <row r="15" spans="2:11" x14ac:dyDescent="0.25">
      <c r="B15" s="29" t="s">
        <v>109</v>
      </c>
      <c r="C15" s="32">
        <v>1396</v>
      </c>
      <c r="D15" s="7">
        <f t="shared" si="0"/>
        <v>0.74572649572649574</v>
      </c>
    </row>
    <row r="16" spans="2:11" x14ac:dyDescent="0.25">
      <c r="B16" s="29" t="s">
        <v>238</v>
      </c>
      <c r="C16" s="32">
        <v>491.09</v>
      </c>
      <c r="D16" s="7">
        <f t="shared" si="0"/>
        <v>0.2623344017094017</v>
      </c>
    </row>
    <row r="17" spans="2:4" x14ac:dyDescent="0.25">
      <c r="B17" s="29" t="s">
        <v>239</v>
      </c>
      <c r="C17" s="32">
        <v>442</v>
      </c>
      <c r="D17" s="7">
        <f t="shared" si="0"/>
        <v>0.2361111111111111</v>
      </c>
    </row>
    <row r="18" spans="2:4" x14ac:dyDescent="0.25">
      <c r="B18" s="29" t="s">
        <v>240</v>
      </c>
      <c r="C18" s="32">
        <v>480</v>
      </c>
      <c r="D18" s="7">
        <f t="shared" si="0"/>
        <v>0.25641025641025639</v>
      </c>
    </row>
    <row r="19" spans="2:4" x14ac:dyDescent="0.25">
      <c r="B19" s="29" t="s">
        <v>241</v>
      </c>
      <c r="C19" s="32">
        <v>172</v>
      </c>
      <c r="D19" s="7">
        <f t="shared" si="0"/>
        <v>9.1880341880341887E-2</v>
      </c>
    </row>
    <row r="20" spans="2:4" x14ac:dyDescent="0.25">
      <c r="B20" s="29" t="s">
        <v>115</v>
      </c>
      <c r="C20" s="32">
        <v>707.96</v>
      </c>
      <c r="D20" s="7">
        <f t="shared" si="0"/>
        <v>0.37818376068376069</v>
      </c>
    </row>
    <row r="21" spans="2:4" x14ac:dyDescent="0.25">
      <c r="B21" s="29" t="s">
        <v>120</v>
      </c>
      <c r="C21" s="32">
        <v>108.51</v>
      </c>
      <c r="D21" s="7">
        <f t="shared" si="0"/>
        <v>5.7964743589743593E-2</v>
      </c>
    </row>
    <row r="22" spans="2:4" x14ac:dyDescent="0.25">
      <c r="B22" s="29" t="s">
        <v>121</v>
      </c>
      <c r="C22" s="32">
        <v>463.1</v>
      </c>
      <c r="D22" s="7">
        <f t="shared" si="0"/>
        <v>0.24738247863247864</v>
      </c>
    </row>
    <row r="23" spans="2:4" x14ac:dyDescent="0.25">
      <c r="B23" s="29" t="s">
        <v>124</v>
      </c>
      <c r="C23" s="32">
        <v>849</v>
      </c>
      <c r="D23" s="7">
        <f t="shared" si="0"/>
        <v>0.45352564102564102</v>
      </c>
    </row>
    <row r="24" spans="2:4" x14ac:dyDescent="0.25">
      <c r="B24" s="29" t="s">
        <v>126</v>
      </c>
      <c r="C24" s="32">
        <v>637.63</v>
      </c>
      <c r="D24" s="7">
        <f t="shared" si="0"/>
        <v>0.34061431623931626</v>
      </c>
    </row>
    <row r="25" spans="2:4" x14ac:dyDescent="0.25">
      <c r="B25" s="29" t="s">
        <v>242</v>
      </c>
      <c r="C25" s="32">
        <v>556</v>
      </c>
      <c r="D25" s="7">
        <f t="shared" si="0"/>
        <v>0.29700854700854701</v>
      </c>
    </row>
    <row r="26" spans="2:4" x14ac:dyDescent="0.25">
      <c r="B26" s="29" t="s">
        <v>130</v>
      </c>
      <c r="C26" s="32">
        <v>555.72</v>
      </c>
      <c r="D26" s="7">
        <f t="shared" si="0"/>
        <v>0.29685897435897435</v>
      </c>
    </row>
    <row r="27" spans="2:4" x14ac:dyDescent="0.25">
      <c r="B27" s="29" t="s">
        <v>138</v>
      </c>
      <c r="C27" s="32">
        <v>1402</v>
      </c>
      <c r="D27" s="7">
        <f t="shared" si="0"/>
        <v>0.74893162393162394</v>
      </c>
    </row>
    <row r="28" spans="2:4" x14ac:dyDescent="0.25">
      <c r="B28" s="29" t="s">
        <v>139</v>
      </c>
      <c r="C28" s="32">
        <v>712</v>
      </c>
      <c r="D28" s="7">
        <f t="shared" si="0"/>
        <v>0.38034188034188032</v>
      </c>
    </row>
    <row r="29" spans="2:4" x14ac:dyDescent="0.25">
      <c r="B29" s="29" t="s">
        <v>144</v>
      </c>
      <c r="C29" s="32">
        <v>1339.2</v>
      </c>
      <c r="D29" s="7">
        <f t="shared" si="0"/>
        <v>0.7153846153846154</v>
      </c>
    </row>
    <row r="30" spans="2:4" x14ac:dyDescent="0.25">
      <c r="B30" s="29" t="s">
        <v>171</v>
      </c>
      <c r="C30" s="32">
        <v>755</v>
      </c>
      <c r="D30" s="7">
        <f t="shared" si="0"/>
        <v>0.40331196581196582</v>
      </c>
    </row>
    <row r="31" spans="2:4" x14ac:dyDescent="0.25">
      <c r="B31" s="29" t="s">
        <v>173</v>
      </c>
      <c r="C31" s="32">
        <v>765</v>
      </c>
      <c r="D31" s="7">
        <f t="shared" si="0"/>
        <v>0.40865384615384615</v>
      </c>
    </row>
    <row r="32" spans="2:4" x14ac:dyDescent="0.25">
      <c r="B32" s="29" t="s">
        <v>181</v>
      </c>
      <c r="C32" s="32">
        <v>654.91</v>
      </c>
      <c r="D32" s="7">
        <f t="shared" si="0"/>
        <v>0.34984508547008547</v>
      </c>
    </row>
    <row r="33" spans="2:4" x14ac:dyDescent="0.25">
      <c r="B33" s="29" t="s">
        <v>243</v>
      </c>
      <c r="C33" s="32">
        <v>494.21</v>
      </c>
      <c r="D33" s="7">
        <f t="shared" si="0"/>
        <v>0.26400106837606835</v>
      </c>
    </row>
    <row r="34" spans="2:4" x14ac:dyDescent="0.25">
      <c r="B34" s="29" t="s">
        <v>20</v>
      </c>
      <c r="C34" s="32">
        <v>490</v>
      </c>
      <c r="D34" s="7">
        <f t="shared" si="0"/>
        <v>0.26175213675213677</v>
      </c>
    </row>
    <row r="35" spans="2:4" x14ac:dyDescent="0.25">
      <c r="B35" s="29" t="s">
        <v>199</v>
      </c>
      <c r="C35" s="32">
        <v>455.67</v>
      </c>
      <c r="D35" s="7">
        <f t="shared" si="0"/>
        <v>0.24341346153846155</v>
      </c>
    </row>
    <row r="36" spans="2:4" x14ac:dyDescent="0.25">
      <c r="B36" s="29" t="s">
        <v>19</v>
      </c>
      <c r="C36" s="32">
        <v>283.39</v>
      </c>
      <c r="D36" s="7">
        <f t="shared" si="0"/>
        <v>0.151383547008547</v>
      </c>
    </row>
    <row r="37" spans="2:4" x14ac:dyDescent="0.25">
      <c r="B37" s="29" t="s">
        <v>201</v>
      </c>
      <c r="C37" s="32">
        <v>1204.4100000000001</v>
      </c>
      <c r="D37" s="7">
        <f t="shared" si="0"/>
        <v>0.64338141025641027</v>
      </c>
    </row>
    <row r="38" spans="2:4" x14ac:dyDescent="0.25">
      <c r="B38" s="29" t="s">
        <v>203</v>
      </c>
      <c r="C38" s="32">
        <v>374.97</v>
      </c>
      <c r="D38" s="7">
        <f t="shared" si="0"/>
        <v>0.20030448717948721</v>
      </c>
    </row>
    <row r="39" spans="2:4" x14ac:dyDescent="0.25">
      <c r="B39" s="29" t="s">
        <v>211</v>
      </c>
      <c r="C39" s="32">
        <v>445.3</v>
      </c>
      <c r="D39" s="7">
        <f t="shared" si="0"/>
        <v>0.23787393162393164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sheetPr>
  <dimension ref="A1:E41"/>
  <sheetViews>
    <sheetView workbookViewId="0">
      <selection activeCell="M34" sqref="M34"/>
    </sheetView>
  </sheetViews>
  <sheetFormatPr defaultRowHeight="15" x14ac:dyDescent="0.25"/>
  <cols>
    <col min="1" max="1" width="2.7109375" style="29" customWidth="1"/>
    <col min="2" max="2" width="18.28515625" bestFit="1" customWidth="1"/>
    <col min="3" max="3" width="14.28515625" style="45" bestFit="1" customWidth="1"/>
    <col min="4" max="4" width="9.7109375" bestFit="1" customWidth="1"/>
  </cols>
  <sheetData>
    <row r="1" spans="2:5" s="29" customFormat="1" x14ac:dyDescent="0.25">
      <c r="B1" s="39" t="s">
        <v>252</v>
      </c>
      <c r="C1" s="35" t="s">
        <v>387</v>
      </c>
    </row>
    <row r="2" spans="2:5" ht="15" customHeight="1" x14ac:dyDescent="0.25">
      <c r="B2" s="51" t="s">
        <v>23</v>
      </c>
      <c r="C2" s="52">
        <v>0.33400000000000002</v>
      </c>
    </row>
    <row r="3" spans="2:5" ht="15" customHeight="1" x14ac:dyDescent="0.25">
      <c r="B3" s="51" t="s">
        <v>360</v>
      </c>
      <c r="C3" s="52">
        <v>0.35</v>
      </c>
    </row>
    <row r="4" spans="2:5" ht="15" customHeight="1" x14ac:dyDescent="0.25">
      <c r="B4" s="51" t="s">
        <v>361</v>
      </c>
      <c r="C4" s="52">
        <v>0.32</v>
      </c>
    </row>
    <row r="5" spans="2:5" ht="15" customHeight="1" x14ac:dyDescent="0.25">
      <c r="B5" s="51" t="s">
        <v>362</v>
      </c>
      <c r="C5" s="52">
        <v>0.28499999999999998</v>
      </c>
    </row>
    <row r="6" spans="2:5" ht="15" customHeight="1" x14ac:dyDescent="0.25">
      <c r="B6" s="51" t="s">
        <v>363</v>
      </c>
      <c r="C6" s="52">
        <v>0.33100000000000002</v>
      </c>
    </row>
    <row r="7" spans="2:5" ht="15" customHeight="1" x14ac:dyDescent="0.25">
      <c r="B7" s="51" t="s">
        <v>364</v>
      </c>
      <c r="C7" s="52">
        <v>0.35699999999999998</v>
      </c>
    </row>
    <row r="8" spans="2:5" ht="15" customHeight="1" x14ac:dyDescent="0.25">
      <c r="B8" s="51" t="s">
        <v>61</v>
      </c>
      <c r="C8" s="52">
        <v>0.34</v>
      </c>
    </row>
    <row r="9" spans="2:5" ht="15" customHeight="1" x14ac:dyDescent="0.25">
      <c r="B9" s="51" t="s">
        <v>75</v>
      </c>
      <c r="C9" s="45">
        <f>AVERAGE(D9:E9)</f>
        <v>0.15000000000000002</v>
      </c>
      <c r="D9" s="51">
        <v>0.1</v>
      </c>
      <c r="E9" s="51">
        <v>0.2</v>
      </c>
    </row>
    <row r="10" spans="2:5" ht="15" customHeight="1" x14ac:dyDescent="0.25">
      <c r="B10" s="51" t="s">
        <v>21</v>
      </c>
      <c r="C10" s="52">
        <v>0.35499999999999998</v>
      </c>
    </row>
    <row r="11" spans="2:5" ht="15" customHeight="1" x14ac:dyDescent="0.25">
      <c r="B11" s="51" t="s">
        <v>365</v>
      </c>
      <c r="C11" s="52">
        <v>0</v>
      </c>
    </row>
    <row r="12" spans="2:5" ht="15" customHeight="1" x14ac:dyDescent="0.25">
      <c r="B12" s="51" t="s">
        <v>366</v>
      </c>
      <c r="C12" s="52">
        <v>0.22</v>
      </c>
    </row>
    <row r="13" spans="2:5" ht="15" customHeight="1" x14ac:dyDescent="0.25">
      <c r="B13" s="51" t="s">
        <v>367</v>
      </c>
      <c r="C13" s="45">
        <f>AVERAGE(D13:E13)</f>
        <v>0.23500000000000001</v>
      </c>
      <c r="D13" s="51">
        <v>0.2</v>
      </c>
      <c r="E13" s="51">
        <v>0.27</v>
      </c>
    </row>
    <row r="14" spans="2:5" ht="15" customHeight="1" x14ac:dyDescent="0.25">
      <c r="B14" s="51" t="s">
        <v>98</v>
      </c>
      <c r="C14" s="45">
        <f>AVERAGE(D14:E14)</f>
        <v>0.25</v>
      </c>
      <c r="D14" s="51">
        <v>0.2</v>
      </c>
      <c r="E14" s="51">
        <v>0.3</v>
      </c>
    </row>
    <row r="15" spans="2:5" ht="15" customHeight="1" x14ac:dyDescent="0.25">
      <c r="B15" s="51" t="s">
        <v>368</v>
      </c>
      <c r="C15" s="52">
        <v>0.33</v>
      </c>
    </row>
    <row r="16" spans="2:5" ht="15" customHeight="1" x14ac:dyDescent="0.25">
      <c r="B16" s="51" t="s">
        <v>106</v>
      </c>
      <c r="C16" s="45">
        <f>AVERAGE(D16:E16)</f>
        <v>0.32500000000000001</v>
      </c>
      <c r="D16" s="51">
        <v>0.27</v>
      </c>
      <c r="E16" s="51">
        <v>0.38</v>
      </c>
    </row>
    <row r="17" spans="2:5" ht="15" customHeight="1" x14ac:dyDescent="0.25">
      <c r="B17" s="51" t="s">
        <v>369</v>
      </c>
      <c r="C17" s="52">
        <v>0.21099999999999999</v>
      </c>
    </row>
    <row r="18" spans="2:5" ht="15" customHeight="1" x14ac:dyDescent="0.25">
      <c r="B18" s="51" t="s">
        <v>370</v>
      </c>
      <c r="C18" s="45">
        <f>AVERAGE(D18:E18)</f>
        <v>0.26</v>
      </c>
      <c r="D18" s="51">
        <v>0.22</v>
      </c>
      <c r="E18" s="51">
        <v>0.3</v>
      </c>
    </row>
    <row r="19" spans="2:5" ht="15" customHeight="1" x14ac:dyDescent="0.25">
      <c r="B19" s="51" t="s">
        <v>371</v>
      </c>
      <c r="C19" s="45">
        <f>AVERAGE(D19:E19)</f>
        <v>0.28500000000000003</v>
      </c>
      <c r="D19" s="51">
        <v>0.26</v>
      </c>
      <c r="E19" s="51">
        <v>0.31</v>
      </c>
    </row>
    <row r="20" spans="2:5" ht="15" customHeight="1" x14ac:dyDescent="0.25">
      <c r="B20" s="51" t="s">
        <v>372</v>
      </c>
      <c r="C20" s="52">
        <v>0.27100000000000002</v>
      </c>
    </row>
    <row r="21" spans="2:5" ht="15" customHeight="1" x14ac:dyDescent="0.25">
      <c r="B21" s="51" t="s">
        <v>115</v>
      </c>
      <c r="C21" s="52">
        <v>0.43099999999999999</v>
      </c>
    </row>
    <row r="22" spans="2:5" ht="15" customHeight="1" x14ac:dyDescent="0.25">
      <c r="B22" s="51" t="s">
        <v>116</v>
      </c>
      <c r="C22" s="45">
        <f>AVERAGE(D22:E22)</f>
        <v>0.25</v>
      </c>
      <c r="D22" s="51">
        <v>0.2</v>
      </c>
      <c r="E22" s="51">
        <v>0.3</v>
      </c>
    </row>
    <row r="23" spans="2:5" ht="15" customHeight="1" x14ac:dyDescent="0.25">
      <c r="B23" s="51" t="s">
        <v>120</v>
      </c>
      <c r="C23" s="52">
        <v>0.35</v>
      </c>
    </row>
    <row r="24" spans="2:5" ht="15" customHeight="1" x14ac:dyDescent="0.25">
      <c r="B24" s="51" t="s">
        <v>373</v>
      </c>
      <c r="C24" s="52">
        <v>0.28100000000000003</v>
      </c>
    </row>
    <row r="25" spans="2:5" ht="15" customHeight="1" x14ac:dyDescent="0.25">
      <c r="B25" s="51" t="s">
        <v>122</v>
      </c>
      <c r="C25" s="45">
        <f>AVERAGE(D25:E25)</f>
        <v>0.25</v>
      </c>
      <c r="D25" s="51">
        <v>0.2</v>
      </c>
      <c r="E25" s="51">
        <v>0.3</v>
      </c>
    </row>
    <row r="26" spans="2:5" ht="15" customHeight="1" x14ac:dyDescent="0.25">
      <c r="B26" s="51" t="s">
        <v>126</v>
      </c>
      <c r="C26" s="52">
        <v>0.307</v>
      </c>
    </row>
    <row r="27" spans="2:5" ht="15" customHeight="1" x14ac:dyDescent="0.25">
      <c r="B27" s="51" t="s">
        <v>127</v>
      </c>
      <c r="C27" s="52">
        <v>0.315</v>
      </c>
    </row>
    <row r="28" spans="2:5" ht="15" customHeight="1" x14ac:dyDescent="0.25">
      <c r="B28" s="51" t="s">
        <v>374</v>
      </c>
      <c r="C28" s="52">
        <v>0.32200000000000001</v>
      </c>
    </row>
    <row r="29" spans="2:5" ht="15" customHeight="1" x14ac:dyDescent="0.25">
      <c r="B29" s="51" t="s">
        <v>375</v>
      </c>
      <c r="C29" s="52">
        <v>0.29099999999999998</v>
      </c>
    </row>
    <row r="30" spans="2:5" ht="15" customHeight="1" x14ac:dyDescent="0.25">
      <c r="B30" s="51" t="s">
        <v>376</v>
      </c>
      <c r="C30" s="52">
        <v>0.34</v>
      </c>
    </row>
    <row r="31" spans="2:5" ht="15" customHeight="1" x14ac:dyDescent="0.25">
      <c r="B31" s="51" t="s">
        <v>377</v>
      </c>
      <c r="C31" s="52">
        <v>0.35899999999999999</v>
      </c>
    </row>
    <row r="32" spans="2:5" ht="15" customHeight="1" x14ac:dyDescent="0.25">
      <c r="B32" s="51" t="s">
        <v>378</v>
      </c>
      <c r="C32" s="45">
        <f>AVERAGE(D32:E32)</f>
        <v>0.49</v>
      </c>
      <c r="D32" s="51">
        <v>0.48</v>
      </c>
      <c r="E32" s="51">
        <v>0.5</v>
      </c>
    </row>
    <row r="33" spans="2:3" ht="15" customHeight="1" x14ac:dyDescent="0.25">
      <c r="B33" s="51" t="s">
        <v>379</v>
      </c>
      <c r="C33" s="52">
        <v>0.30499999999999999</v>
      </c>
    </row>
    <row r="34" spans="2:3" ht="15" customHeight="1" x14ac:dyDescent="0.25">
      <c r="B34" s="51" t="s">
        <v>380</v>
      </c>
      <c r="C34" s="52">
        <v>0.26500000000000001</v>
      </c>
    </row>
    <row r="35" spans="2:3" ht="15" customHeight="1" x14ac:dyDescent="0.25">
      <c r="B35" s="51" t="s">
        <v>381</v>
      </c>
      <c r="C35" s="52">
        <v>0.28699999999999998</v>
      </c>
    </row>
    <row r="36" spans="2:3" ht="15" customHeight="1" x14ac:dyDescent="0.25">
      <c r="B36" s="51" t="s">
        <v>382</v>
      </c>
      <c r="C36" s="52">
        <v>0.29499999999999998</v>
      </c>
    </row>
    <row r="37" spans="2:3" ht="15" customHeight="1" x14ac:dyDescent="0.25">
      <c r="B37" s="51" t="s">
        <v>383</v>
      </c>
      <c r="C37" s="52">
        <v>0.30299999999999999</v>
      </c>
    </row>
    <row r="38" spans="2:3" ht="15" customHeight="1" x14ac:dyDescent="0.25">
      <c r="B38" s="51" t="s">
        <v>384</v>
      </c>
      <c r="C38" s="52">
        <v>0.32</v>
      </c>
    </row>
    <row r="39" spans="2:3" ht="15" customHeight="1" x14ac:dyDescent="0.25">
      <c r="B39" s="51" t="s">
        <v>385</v>
      </c>
      <c r="C39" s="52">
        <v>0.27800000000000002</v>
      </c>
    </row>
    <row r="40" spans="2:3" ht="15" customHeight="1" x14ac:dyDescent="0.25">
      <c r="B40" s="51" t="s">
        <v>386</v>
      </c>
      <c r="C40" s="52">
        <v>0.36</v>
      </c>
    </row>
    <row r="41" spans="2:3" ht="15" customHeight="1" x14ac:dyDescent="0.25">
      <c r="B41" s="51" t="s">
        <v>211</v>
      </c>
      <c r="C41" s="52">
        <v>0.33100000000000002</v>
      </c>
    </row>
  </sheetData>
  <hyperlinks>
    <hyperlink ref="C1"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00CC"/>
  </sheetPr>
  <dimension ref="A1:C69"/>
  <sheetViews>
    <sheetView workbookViewId="0">
      <selection activeCell="M29" sqref="M29"/>
    </sheetView>
  </sheetViews>
  <sheetFormatPr defaultRowHeight="15" x14ac:dyDescent="0.25"/>
  <cols>
    <col min="1" max="1" width="2.7109375" style="29" customWidth="1"/>
    <col min="2" max="2" width="6.85546875" bestFit="1" customWidth="1"/>
    <col min="3" max="3" width="9" bestFit="1" customWidth="1"/>
  </cols>
  <sheetData>
    <row r="1" spans="2:3" x14ac:dyDescent="0.25">
      <c r="B1" s="65" t="s">
        <v>253</v>
      </c>
      <c r="C1" s="65"/>
    </row>
    <row r="2" spans="2:3" x14ac:dyDescent="0.25">
      <c r="B2" s="31">
        <v>2</v>
      </c>
      <c r="C2" s="10">
        <f t="shared" ref="C2:C19" si="0">B2</f>
        <v>2</v>
      </c>
    </row>
    <row r="3" spans="2:3" x14ac:dyDescent="0.25">
      <c r="B3" s="8">
        <v>1.75</v>
      </c>
      <c r="C3" s="10">
        <f t="shared" si="0"/>
        <v>1.75</v>
      </c>
    </row>
    <row r="4" spans="2:3" x14ac:dyDescent="0.25">
      <c r="B4" s="8">
        <v>1.5</v>
      </c>
      <c r="C4" s="10">
        <f t="shared" si="0"/>
        <v>1.5</v>
      </c>
    </row>
    <row r="5" spans="2:3" x14ac:dyDescent="0.25">
      <c r="B5" s="8">
        <v>1.25</v>
      </c>
      <c r="C5" s="10">
        <f t="shared" si="0"/>
        <v>1.25</v>
      </c>
    </row>
    <row r="6" spans="2:3" x14ac:dyDescent="0.25">
      <c r="B6" s="31">
        <v>1</v>
      </c>
      <c r="C6" s="10">
        <f t="shared" si="0"/>
        <v>1</v>
      </c>
    </row>
    <row r="7" spans="2:3" x14ac:dyDescent="0.25">
      <c r="B7" s="9">
        <f>B6-(1/64)</f>
        <v>0.984375</v>
      </c>
      <c r="C7" s="10">
        <f t="shared" si="0"/>
        <v>0.984375</v>
      </c>
    </row>
    <row r="8" spans="2:3" x14ac:dyDescent="0.25">
      <c r="B8" s="9">
        <f t="shared" ref="B8:B68" si="1">B7-(1/64)</f>
        <v>0.96875</v>
      </c>
      <c r="C8" s="10">
        <f t="shared" si="0"/>
        <v>0.96875</v>
      </c>
    </row>
    <row r="9" spans="2:3" x14ac:dyDescent="0.25">
      <c r="B9" s="9">
        <f t="shared" si="1"/>
        <v>0.953125</v>
      </c>
      <c r="C9" s="10">
        <f t="shared" si="0"/>
        <v>0.953125</v>
      </c>
    </row>
    <row r="10" spans="2:3" x14ac:dyDescent="0.25">
      <c r="B10" s="9">
        <f t="shared" si="1"/>
        <v>0.9375</v>
      </c>
      <c r="C10" s="10">
        <f t="shared" si="0"/>
        <v>0.9375</v>
      </c>
    </row>
    <row r="11" spans="2:3" x14ac:dyDescent="0.25">
      <c r="B11" s="9">
        <f t="shared" si="1"/>
        <v>0.921875</v>
      </c>
      <c r="C11" s="10">
        <f t="shared" si="0"/>
        <v>0.921875</v>
      </c>
    </row>
    <row r="12" spans="2:3" x14ac:dyDescent="0.25">
      <c r="B12" s="9">
        <f t="shared" si="1"/>
        <v>0.90625</v>
      </c>
      <c r="C12" s="10">
        <f t="shared" si="0"/>
        <v>0.90625</v>
      </c>
    </row>
    <row r="13" spans="2:3" x14ac:dyDescent="0.25">
      <c r="B13" s="9">
        <f t="shared" si="1"/>
        <v>0.890625</v>
      </c>
      <c r="C13" s="10">
        <f t="shared" si="0"/>
        <v>0.890625</v>
      </c>
    </row>
    <row r="14" spans="2:3" x14ac:dyDescent="0.25">
      <c r="B14" s="9">
        <f t="shared" si="1"/>
        <v>0.875</v>
      </c>
      <c r="C14" s="10">
        <f t="shared" si="0"/>
        <v>0.875</v>
      </c>
    </row>
    <row r="15" spans="2:3" x14ac:dyDescent="0.25">
      <c r="B15" s="9">
        <f t="shared" si="1"/>
        <v>0.859375</v>
      </c>
      <c r="C15" s="10">
        <f t="shared" si="0"/>
        <v>0.859375</v>
      </c>
    </row>
    <row r="16" spans="2:3" x14ac:dyDescent="0.25">
      <c r="B16" s="9">
        <f t="shared" si="1"/>
        <v>0.84375</v>
      </c>
      <c r="C16" s="10">
        <f t="shared" si="0"/>
        <v>0.84375</v>
      </c>
    </row>
    <row r="17" spans="2:3" x14ac:dyDescent="0.25">
      <c r="B17" s="9">
        <f t="shared" si="1"/>
        <v>0.828125</v>
      </c>
      <c r="C17" s="10">
        <f t="shared" si="0"/>
        <v>0.828125</v>
      </c>
    </row>
    <row r="18" spans="2:3" x14ac:dyDescent="0.25">
      <c r="B18" s="9">
        <f t="shared" si="1"/>
        <v>0.8125</v>
      </c>
      <c r="C18" s="10">
        <f t="shared" si="0"/>
        <v>0.8125</v>
      </c>
    </row>
    <row r="19" spans="2:3" x14ac:dyDescent="0.25">
      <c r="B19" s="9">
        <f t="shared" si="1"/>
        <v>0.796875</v>
      </c>
      <c r="C19" s="31">
        <f t="shared" si="0"/>
        <v>0.796875</v>
      </c>
    </row>
    <row r="20" spans="2:3" x14ac:dyDescent="0.25">
      <c r="B20" s="9">
        <f t="shared" si="1"/>
        <v>0.78125</v>
      </c>
      <c r="C20" s="10">
        <f>B20</f>
        <v>0.78125</v>
      </c>
    </row>
    <row r="21" spans="2:3" x14ac:dyDescent="0.25">
      <c r="B21" s="9">
        <f t="shared" si="1"/>
        <v>0.765625</v>
      </c>
      <c r="C21" s="10">
        <f>B21</f>
        <v>0.765625</v>
      </c>
    </row>
    <row r="22" spans="2:3" x14ac:dyDescent="0.25">
      <c r="B22" s="9">
        <f t="shared" si="1"/>
        <v>0.75</v>
      </c>
      <c r="C22" s="10">
        <f>B22</f>
        <v>0.75</v>
      </c>
    </row>
    <row r="23" spans="2:3" x14ac:dyDescent="0.25">
      <c r="B23" s="9">
        <f t="shared" si="1"/>
        <v>0.734375</v>
      </c>
      <c r="C23" s="10">
        <f>B23</f>
        <v>0.734375</v>
      </c>
    </row>
    <row r="24" spans="2:3" x14ac:dyDescent="0.25">
      <c r="B24" s="9">
        <f t="shared" si="1"/>
        <v>0.71875</v>
      </c>
      <c r="C24" s="10">
        <f t="shared" ref="C24:C69" si="2">B24</f>
        <v>0.71875</v>
      </c>
    </row>
    <row r="25" spans="2:3" x14ac:dyDescent="0.25">
      <c r="B25" s="9">
        <f t="shared" si="1"/>
        <v>0.703125</v>
      </c>
      <c r="C25" s="10">
        <f t="shared" si="2"/>
        <v>0.703125</v>
      </c>
    </row>
    <row r="26" spans="2:3" x14ac:dyDescent="0.25">
      <c r="B26" s="9">
        <f t="shared" si="1"/>
        <v>0.6875</v>
      </c>
      <c r="C26" s="10">
        <f t="shared" si="2"/>
        <v>0.6875</v>
      </c>
    </row>
    <row r="27" spans="2:3" x14ac:dyDescent="0.25">
      <c r="B27" s="9">
        <f t="shared" si="1"/>
        <v>0.671875</v>
      </c>
      <c r="C27" s="10">
        <f t="shared" si="2"/>
        <v>0.671875</v>
      </c>
    </row>
    <row r="28" spans="2:3" x14ac:dyDescent="0.25">
      <c r="B28" s="9">
        <f t="shared" si="1"/>
        <v>0.65625</v>
      </c>
      <c r="C28" s="10">
        <f t="shared" si="2"/>
        <v>0.65625</v>
      </c>
    </row>
    <row r="29" spans="2:3" x14ac:dyDescent="0.25">
      <c r="B29" s="9">
        <f t="shared" si="1"/>
        <v>0.640625</v>
      </c>
      <c r="C29" s="10">
        <f t="shared" si="2"/>
        <v>0.640625</v>
      </c>
    </row>
    <row r="30" spans="2:3" x14ac:dyDescent="0.25">
      <c r="B30" s="9">
        <f t="shared" si="1"/>
        <v>0.625</v>
      </c>
      <c r="C30" s="10">
        <f t="shared" si="2"/>
        <v>0.625</v>
      </c>
    </row>
    <row r="31" spans="2:3" x14ac:dyDescent="0.25">
      <c r="B31" s="9">
        <f t="shared" si="1"/>
        <v>0.609375</v>
      </c>
      <c r="C31" s="10">
        <f t="shared" si="2"/>
        <v>0.609375</v>
      </c>
    </row>
    <row r="32" spans="2:3" x14ac:dyDescent="0.25">
      <c r="B32" s="9">
        <f t="shared" si="1"/>
        <v>0.59375</v>
      </c>
      <c r="C32" s="10">
        <f t="shared" si="2"/>
        <v>0.59375</v>
      </c>
    </row>
    <row r="33" spans="2:3" x14ac:dyDescent="0.25">
      <c r="B33" s="9">
        <f t="shared" si="1"/>
        <v>0.578125</v>
      </c>
      <c r="C33" s="10">
        <f t="shared" si="2"/>
        <v>0.578125</v>
      </c>
    </row>
    <row r="34" spans="2:3" x14ac:dyDescent="0.25">
      <c r="B34" s="9">
        <f>B33-(1/64)</f>
        <v>0.5625</v>
      </c>
      <c r="C34" s="10">
        <f t="shared" si="2"/>
        <v>0.5625</v>
      </c>
    </row>
    <row r="35" spans="2:3" x14ac:dyDescent="0.25">
      <c r="B35" s="9">
        <f t="shared" si="1"/>
        <v>0.546875</v>
      </c>
      <c r="C35" s="10">
        <f t="shared" si="2"/>
        <v>0.546875</v>
      </c>
    </row>
    <row r="36" spans="2:3" x14ac:dyDescent="0.25">
      <c r="B36" s="9">
        <f t="shared" si="1"/>
        <v>0.53125</v>
      </c>
      <c r="C36" s="10">
        <f t="shared" si="2"/>
        <v>0.53125</v>
      </c>
    </row>
    <row r="37" spans="2:3" x14ac:dyDescent="0.25">
      <c r="B37" s="9">
        <f t="shared" si="1"/>
        <v>0.515625</v>
      </c>
      <c r="C37" s="10">
        <f t="shared" si="2"/>
        <v>0.515625</v>
      </c>
    </row>
    <row r="38" spans="2:3" x14ac:dyDescent="0.25">
      <c r="B38" s="9">
        <f t="shared" si="1"/>
        <v>0.5</v>
      </c>
      <c r="C38" s="10">
        <f t="shared" si="2"/>
        <v>0.5</v>
      </c>
    </row>
    <row r="39" spans="2:3" x14ac:dyDescent="0.25">
      <c r="B39" s="9">
        <f t="shared" si="1"/>
        <v>0.484375</v>
      </c>
      <c r="C39" s="10">
        <f t="shared" si="2"/>
        <v>0.484375</v>
      </c>
    </row>
    <row r="40" spans="2:3" x14ac:dyDescent="0.25">
      <c r="B40" s="9">
        <f t="shared" si="1"/>
        <v>0.46875</v>
      </c>
      <c r="C40" s="10">
        <f t="shared" si="2"/>
        <v>0.46875</v>
      </c>
    </row>
    <row r="41" spans="2:3" x14ac:dyDescent="0.25">
      <c r="B41" s="9">
        <f t="shared" si="1"/>
        <v>0.453125</v>
      </c>
      <c r="C41" s="10">
        <f t="shared" si="2"/>
        <v>0.453125</v>
      </c>
    </row>
    <row r="42" spans="2:3" x14ac:dyDescent="0.25">
      <c r="B42" s="9">
        <f t="shared" si="1"/>
        <v>0.4375</v>
      </c>
      <c r="C42" s="10">
        <f t="shared" si="2"/>
        <v>0.4375</v>
      </c>
    </row>
    <row r="43" spans="2:3" x14ac:dyDescent="0.25">
      <c r="B43" s="9">
        <f t="shared" si="1"/>
        <v>0.421875</v>
      </c>
      <c r="C43" s="10">
        <f t="shared" si="2"/>
        <v>0.421875</v>
      </c>
    </row>
    <row r="44" spans="2:3" x14ac:dyDescent="0.25">
      <c r="B44" s="9">
        <f t="shared" si="1"/>
        <v>0.40625</v>
      </c>
      <c r="C44" s="10">
        <f t="shared" si="2"/>
        <v>0.40625</v>
      </c>
    </row>
    <row r="45" spans="2:3" x14ac:dyDescent="0.25">
      <c r="B45" s="9">
        <f t="shared" si="1"/>
        <v>0.390625</v>
      </c>
      <c r="C45" s="10">
        <f t="shared" si="2"/>
        <v>0.390625</v>
      </c>
    </row>
    <row r="46" spans="2:3" x14ac:dyDescent="0.25">
      <c r="B46" s="9">
        <f t="shared" si="1"/>
        <v>0.375</v>
      </c>
      <c r="C46" s="10">
        <f t="shared" si="2"/>
        <v>0.375</v>
      </c>
    </row>
    <row r="47" spans="2:3" x14ac:dyDescent="0.25">
      <c r="B47" s="9">
        <f t="shared" si="1"/>
        <v>0.359375</v>
      </c>
      <c r="C47" s="10">
        <f t="shared" si="2"/>
        <v>0.359375</v>
      </c>
    </row>
    <row r="48" spans="2:3" x14ac:dyDescent="0.25">
      <c r="B48" s="9">
        <f t="shared" si="1"/>
        <v>0.34375</v>
      </c>
      <c r="C48" s="10">
        <f t="shared" si="2"/>
        <v>0.34375</v>
      </c>
    </row>
    <row r="49" spans="2:3" x14ac:dyDescent="0.25">
      <c r="B49" s="9">
        <f t="shared" si="1"/>
        <v>0.328125</v>
      </c>
      <c r="C49" s="10">
        <f t="shared" si="2"/>
        <v>0.328125</v>
      </c>
    </row>
    <row r="50" spans="2:3" x14ac:dyDescent="0.25">
      <c r="B50" s="9">
        <f>B49-(1/64)</f>
        <v>0.3125</v>
      </c>
      <c r="C50" s="10">
        <f t="shared" si="2"/>
        <v>0.3125</v>
      </c>
    </row>
    <row r="51" spans="2:3" x14ac:dyDescent="0.25">
      <c r="B51" s="9">
        <f t="shared" si="1"/>
        <v>0.296875</v>
      </c>
      <c r="C51" s="10">
        <f t="shared" si="2"/>
        <v>0.296875</v>
      </c>
    </row>
    <row r="52" spans="2:3" x14ac:dyDescent="0.25">
      <c r="B52" s="9">
        <f t="shared" si="1"/>
        <v>0.28125</v>
      </c>
      <c r="C52" s="10">
        <f t="shared" si="2"/>
        <v>0.28125</v>
      </c>
    </row>
    <row r="53" spans="2:3" x14ac:dyDescent="0.25">
      <c r="B53" s="9">
        <f t="shared" si="1"/>
        <v>0.265625</v>
      </c>
      <c r="C53" s="10">
        <f t="shared" si="2"/>
        <v>0.265625</v>
      </c>
    </row>
    <row r="54" spans="2:3" x14ac:dyDescent="0.25">
      <c r="B54" s="9">
        <f t="shared" si="1"/>
        <v>0.25</v>
      </c>
      <c r="C54" s="10">
        <f t="shared" si="2"/>
        <v>0.25</v>
      </c>
    </row>
    <row r="55" spans="2:3" x14ac:dyDescent="0.25">
      <c r="B55" s="9">
        <f t="shared" si="1"/>
        <v>0.234375</v>
      </c>
      <c r="C55" s="10">
        <f t="shared" si="2"/>
        <v>0.234375</v>
      </c>
    </row>
    <row r="56" spans="2:3" x14ac:dyDescent="0.25">
      <c r="B56" s="9">
        <f t="shared" si="1"/>
        <v>0.21875</v>
      </c>
      <c r="C56" s="10">
        <f t="shared" si="2"/>
        <v>0.21875</v>
      </c>
    </row>
    <row r="57" spans="2:3" x14ac:dyDescent="0.25">
      <c r="B57" s="9">
        <f t="shared" si="1"/>
        <v>0.203125</v>
      </c>
      <c r="C57" s="10">
        <f t="shared" si="2"/>
        <v>0.203125</v>
      </c>
    </row>
    <row r="58" spans="2:3" x14ac:dyDescent="0.25">
      <c r="B58" s="9">
        <f t="shared" si="1"/>
        <v>0.1875</v>
      </c>
      <c r="C58" s="10">
        <f t="shared" si="2"/>
        <v>0.1875</v>
      </c>
    </row>
    <row r="59" spans="2:3" x14ac:dyDescent="0.25">
      <c r="B59" s="9">
        <f t="shared" si="1"/>
        <v>0.171875</v>
      </c>
      <c r="C59" s="10">
        <f t="shared" si="2"/>
        <v>0.171875</v>
      </c>
    </row>
    <row r="60" spans="2:3" x14ac:dyDescent="0.25">
      <c r="B60" s="9">
        <f t="shared" si="1"/>
        <v>0.15625</v>
      </c>
      <c r="C60" s="10">
        <f t="shared" si="2"/>
        <v>0.15625</v>
      </c>
    </row>
    <row r="61" spans="2:3" x14ac:dyDescent="0.25">
      <c r="B61" s="9">
        <f t="shared" si="1"/>
        <v>0.140625</v>
      </c>
      <c r="C61" s="10">
        <f t="shared" si="2"/>
        <v>0.140625</v>
      </c>
    </row>
    <row r="62" spans="2:3" x14ac:dyDescent="0.25">
      <c r="B62" s="9">
        <f t="shared" si="1"/>
        <v>0.125</v>
      </c>
      <c r="C62" s="10">
        <f t="shared" si="2"/>
        <v>0.125</v>
      </c>
    </row>
    <row r="63" spans="2:3" x14ac:dyDescent="0.25">
      <c r="B63" s="9">
        <f t="shared" si="1"/>
        <v>0.109375</v>
      </c>
      <c r="C63" s="10">
        <f t="shared" si="2"/>
        <v>0.109375</v>
      </c>
    </row>
    <row r="64" spans="2:3" x14ac:dyDescent="0.25">
      <c r="B64" s="9">
        <f t="shared" si="1"/>
        <v>9.375E-2</v>
      </c>
      <c r="C64" s="10">
        <f t="shared" si="2"/>
        <v>9.375E-2</v>
      </c>
    </row>
    <row r="65" spans="2:3" x14ac:dyDescent="0.25">
      <c r="B65" s="9">
        <f>B64-(1/64)</f>
        <v>7.8125E-2</v>
      </c>
      <c r="C65" s="10">
        <f t="shared" si="2"/>
        <v>7.8125E-2</v>
      </c>
    </row>
    <row r="66" spans="2:3" x14ac:dyDescent="0.25">
      <c r="B66" s="9">
        <f t="shared" si="1"/>
        <v>6.25E-2</v>
      </c>
      <c r="C66" s="10">
        <f t="shared" si="2"/>
        <v>6.25E-2</v>
      </c>
    </row>
    <row r="67" spans="2:3" x14ac:dyDescent="0.25">
      <c r="B67" s="9">
        <f>B66-(1/64)</f>
        <v>4.6875E-2</v>
      </c>
      <c r="C67" s="10">
        <f t="shared" si="2"/>
        <v>4.6875E-2</v>
      </c>
    </row>
    <row r="68" spans="2:3" x14ac:dyDescent="0.25">
      <c r="B68" s="9">
        <f t="shared" si="1"/>
        <v>3.125E-2</v>
      </c>
      <c r="C68" s="10">
        <f t="shared" si="2"/>
        <v>3.125E-2</v>
      </c>
    </row>
    <row r="69" spans="2:3" x14ac:dyDescent="0.25">
      <c r="B69" s="9">
        <f>B68-(1/64)</f>
        <v>1.5625E-2</v>
      </c>
      <c r="C69" s="10">
        <f t="shared" si="2"/>
        <v>1.5625E-2</v>
      </c>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6600"/>
  </sheetPr>
  <dimension ref="A1:AG20"/>
  <sheetViews>
    <sheetView tabSelected="1" topLeftCell="C1" workbookViewId="0">
      <selection activeCell="U7" sqref="U7"/>
    </sheetView>
  </sheetViews>
  <sheetFormatPr defaultColWidth="9.140625" defaultRowHeight="15" x14ac:dyDescent="0.25"/>
  <cols>
    <col min="1" max="1" width="21" style="1" bestFit="1" customWidth="1"/>
    <col min="2" max="2" width="7.5703125" style="37" bestFit="1" customWidth="1"/>
    <col min="3" max="3" width="2.7109375" style="29" bestFit="1" customWidth="1"/>
    <col min="4" max="4" width="3" style="29" bestFit="1" customWidth="1"/>
    <col min="5" max="5" width="3.85546875" style="29" bestFit="1" customWidth="1"/>
    <col min="6" max="6" width="8.42578125" style="29" bestFit="1" customWidth="1"/>
    <col min="7" max="7" width="2.42578125" style="29" bestFit="1" customWidth="1"/>
    <col min="8" max="8" width="2.7109375" style="29" customWidth="1"/>
    <col min="9" max="9" width="4.28515625" style="29" bestFit="1" customWidth="1"/>
    <col min="10" max="10" width="4.7109375" style="29" bestFit="1" customWidth="1"/>
    <col min="11" max="11" width="1.5703125" style="29" bestFit="1" customWidth="1"/>
    <col min="12" max="12" width="5.7109375" style="29" bestFit="1" customWidth="1"/>
    <col min="13" max="13" width="1.5703125" style="29" bestFit="1" customWidth="1"/>
    <col min="14" max="14" width="4.7109375" style="29" bestFit="1" customWidth="1"/>
    <col min="15" max="15" width="2" style="29" bestFit="1" customWidth="1"/>
    <col min="16" max="16" width="2.7109375" style="29" customWidth="1"/>
    <col min="17" max="17" width="4.85546875" style="29" bestFit="1" customWidth="1"/>
    <col min="18" max="18" width="5.5703125" style="29" bestFit="1" customWidth="1"/>
    <col min="19" max="19" width="2.7109375" style="29" customWidth="1"/>
    <col min="20" max="20" width="8.140625" style="29" bestFit="1" customWidth="1"/>
    <col min="21" max="21" width="6.5703125" style="29" bestFit="1" customWidth="1"/>
    <col min="22" max="22" width="2.7109375" style="37" bestFit="1" customWidth="1"/>
    <col min="23" max="23" width="6.28515625" style="29" bestFit="1" customWidth="1"/>
    <col min="24" max="24" width="2.7109375" style="29" bestFit="1" customWidth="1"/>
    <col min="25" max="25" width="6.28515625" style="29" bestFit="1" customWidth="1"/>
    <col min="26" max="26" width="2.85546875" style="29" bestFit="1" customWidth="1"/>
    <col min="27" max="27" width="6.28515625" style="29" bestFit="1" customWidth="1"/>
    <col min="28" max="28" width="2.7109375" style="29" bestFit="1" customWidth="1"/>
    <col min="29" max="29" width="6.5703125" style="29" bestFit="1" customWidth="1"/>
    <col min="30" max="16384" width="9.140625" style="29"/>
  </cols>
  <sheetData>
    <row r="1" spans="1:33" ht="18.75" thickBot="1" x14ac:dyDescent="0.4">
      <c r="A1" s="1" t="s">
        <v>263</v>
      </c>
      <c r="B1" s="37">
        <v>307.39999999999998</v>
      </c>
      <c r="C1" s="29" t="s">
        <v>44</v>
      </c>
      <c r="E1" s="1" t="s">
        <v>264</v>
      </c>
      <c r="F1" s="3">
        <f>DEGREES(ATAN(B12/B11))</f>
        <v>20.03739023418305</v>
      </c>
      <c r="G1" s="38" t="s">
        <v>265</v>
      </c>
      <c r="I1" s="1" t="s">
        <v>266</v>
      </c>
      <c r="J1" s="29">
        <f>B11</f>
        <v>165.2</v>
      </c>
      <c r="K1" s="39" t="s">
        <v>267</v>
      </c>
      <c r="L1" s="29">
        <f>B12</f>
        <v>60.25</v>
      </c>
      <c r="M1" s="39" t="s">
        <v>268</v>
      </c>
      <c r="N1" s="29">
        <f>-B13</f>
        <v>-230</v>
      </c>
      <c r="O1" s="39" t="s">
        <v>269</v>
      </c>
      <c r="Q1" s="29" t="s">
        <v>270</v>
      </c>
      <c r="R1" s="40">
        <f>SQRT(J1^2+L1^2+N1^2)</f>
        <v>289.51874291658561</v>
      </c>
      <c r="T1" s="1" t="s">
        <v>271</v>
      </c>
      <c r="U1" s="55">
        <v>21470</v>
      </c>
      <c r="V1" s="37" t="s">
        <v>272</v>
      </c>
    </row>
    <row r="2" spans="1:33" ht="18" x14ac:dyDescent="0.35">
      <c r="A2" s="1" t="s">
        <v>273</v>
      </c>
      <c r="B2" s="37">
        <v>97.5</v>
      </c>
      <c r="C2" s="29" t="s">
        <v>44</v>
      </c>
      <c r="E2" s="1" t="s">
        <v>274</v>
      </c>
      <c r="F2" s="3">
        <f>DEGREES(ATAN(B13/B11))</f>
        <v>54.311791770755597</v>
      </c>
      <c r="G2" s="38" t="s">
        <v>265</v>
      </c>
      <c r="I2" s="1" t="s">
        <v>275</v>
      </c>
      <c r="J2" s="29">
        <f>-B11</f>
        <v>-165.2</v>
      </c>
      <c r="K2" s="39" t="s">
        <v>267</v>
      </c>
      <c r="L2" s="29">
        <f>B12</f>
        <v>60.25</v>
      </c>
      <c r="M2" s="39" t="s">
        <v>268</v>
      </c>
      <c r="N2" s="29">
        <f>-B13</f>
        <v>-230</v>
      </c>
      <c r="O2" s="39" t="s">
        <v>269</v>
      </c>
      <c r="Q2" s="29" t="s">
        <v>276</v>
      </c>
      <c r="R2" s="40">
        <f>SQRT(J2^2+L2^2+N2^2)</f>
        <v>289.51874291658561</v>
      </c>
      <c r="T2" s="1" t="s">
        <v>277</v>
      </c>
      <c r="U2" s="26">
        <f>J1/R1</f>
        <v>0.57060209068259327</v>
      </c>
      <c r="V2" s="37" t="s">
        <v>278</v>
      </c>
      <c r="W2" s="26">
        <f>J2/R2</f>
        <v>-0.57060209068259327</v>
      </c>
      <c r="X2" s="1" t="s">
        <v>279</v>
      </c>
      <c r="Y2" s="26">
        <f>J3/R3</f>
        <v>-0.57060209068259327</v>
      </c>
      <c r="Z2" s="1" t="s">
        <v>280</v>
      </c>
      <c r="AA2" s="26">
        <f>J4/R4</f>
        <v>0.57060209068259327</v>
      </c>
      <c r="AB2" s="1" t="s">
        <v>281</v>
      </c>
    </row>
    <row r="3" spans="1:33" ht="18" x14ac:dyDescent="0.35">
      <c r="A3" s="1" t="s">
        <v>282</v>
      </c>
      <c r="B3" s="37">
        <v>115</v>
      </c>
      <c r="C3" s="29" t="s">
        <v>44</v>
      </c>
      <c r="E3" s="60"/>
      <c r="F3" s="29">
        <f>DEGREES(ATAN(B12/B11))</f>
        <v>20.03739023418305</v>
      </c>
      <c r="G3" s="38" t="s">
        <v>265</v>
      </c>
      <c r="I3" s="1" t="s">
        <v>283</v>
      </c>
      <c r="J3" s="29">
        <f>-B11</f>
        <v>-165.2</v>
      </c>
      <c r="K3" s="39" t="s">
        <v>267</v>
      </c>
      <c r="L3" s="29">
        <f>-B12</f>
        <v>-60.25</v>
      </c>
      <c r="M3" s="39" t="s">
        <v>268</v>
      </c>
      <c r="N3" s="29">
        <f>-B13</f>
        <v>-230</v>
      </c>
      <c r="O3" s="39" t="s">
        <v>269</v>
      </c>
      <c r="Q3" s="29" t="s">
        <v>284</v>
      </c>
      <c r="R3" s="40">
        <f>SQRT(J3^2+L3^2+N3^2)</f>
        <v>289.51874291658561</v>
      </c>
      <c r="T3" s="1" t="s">
        <v>285</v>
      </c>
      <c r="U3" s="26">
        <f>L1/R1</f>
        <v>0.20810397072412981</v>
      </c>
      <c r="V3" s="37" t="s">
        <v>278</v>
      </c>
      <c r="W3" s="26">
        <f>L2/R2</f>
        <v>0.20810397072412981</v>
      </c>
      <c r="X3" s="1" t="s">
        <v>279</v>
      </c>
      <c r="Y3" s="26">
        <f>L3/R3</f>
        <v>-0.20810397072412981</v>
      </c>
      <c r="Z3" s="1" t="s">
        <v>280</v>
      </c>
      <c r="AA3" s="26">
        <f>L4/R4</f>
        <v>-0.20810397072412981</v>
      </c>
      <c r="AB3" s="1" t="s">
        <v>281</v>
      </c>
    </row>
    <row r="4" spans="1:33" ht="18" x14ac:dyDescent="0.35">
      <c r="I4" s="1" t="s">
        <v>286</v>
      </c>
      <c r="J4" s="29">
        <f>B11</f>
        <v>165.2</v>
      </c>
      <c r="K4" s="39" t="s">
        <v>267</v>
      </c>
      <c r="L4" s="29">
        <f>-B12</f>
        <v>-60.25</v>
      </c>
      <c r="M4" s="39" t="s">
        <v>268</v>
      </c>
      <c r="N4" s="29">
        <f>-B13</f>
        <v>-230</v>
      </c>
      <c r="O4" s="39" t="s">
        <v>269</v>
      </c>
      <c r="Q4" s="29" t="s">
        <v>287</v>
      </c>
      <c r="R4" s="40">
        <f>SQRT(J4^2+L4^2+N4^2)</f>
        <v>289.51874291658561</v>
      </c>
      <c r="T4" s="1" t="s">
        <v>288</v>
      </c>
      <c r="U4" s="26">
        <f>N1/R1</f>
        <v>-0.79442179695518433</v>
      </c>
      <c r="V4" s="37" t="s">
        <v>278</v>
      </c>
      <c r="W4" s="26">
        <f>N2/R2</f>
        <v>-0.79442179695518433</v>
      </c>
      <c r="X4" s="1" t="s">
        <v>279</v>
      </c>
      <c r="Y4" s="26">
        <f>N3/R3</f>
        <v>-0.79442179695518433</v>
      </c>
      <c r="Z4" s="1" t="s">
        <v>280</v>
      </c>
      <c r="AA4" s="26">
        <f>N4/R4</f>
        <v>-0.79442179695518433</v>
      </c>
      <c r="AB4" s="1" t="s">
        <v>281</v>
      </c>
      <c r="AC4" s="4">
        <f>U1</f>
        <v>21470</v>
      </c>
      <c r="AG4" s="29">
        <f>21470/4</f>
        <v>5367.5</v>
      </c>
    </row>
    <row r="5" spans="1:33" x14ac:dyDescent="0.25">
      <c r="A5" s="1" t="s">
        <v>289</v>
      </c>
      <c r="B5" s="6">
        <v>0.1</v>
      </c>
      <c r="I5" s="1"/>
    </row>
    <row r="6" spans="1:33" ht="18" x14ac:dyDescent="0.35">
      <c r="A6" s="1" t="s">
        <v>290</v>
      </c>
      <c r="B6" s="37">
        <v>330.4</v>
      </c>
      <c r="C6" s="29" t="s">
        <v>44</v>
      </c>
      <c r="I6" s="1"/>
      <c r="T6" s="1" t="s">
        <v>291</v>
      </c>
      <c r="U6" s="26">
        <f>ABS(SUM(U4,W4,Y4,AA4))</f>
        <v>3.1776871878207373</v>
      </c>
      <c r="V6" s="37" t="s">
        <v>226</v>
      </c>
    </row>
    <row r="7" spans="1:33" ht="18" x14ac:dyDescent="0.35">
      <c r="A7" s="1" t="s">
        <v>322</v>
      </c>
      <c r="B7" s="37">
        <v>120.5</v>
      </c>
      <c r="C7" s="29" t="s">
        <v>44</v>
      </c>
      <c r="I7" s="1"/>
      <c r="T7" s="1" t="s">
        <v>293</v>
      </c>
      <c r="U7" s="4">
        <f>AC4/U6</f>
        <v>6756.486315672928</v>
      </c>
      <c r="V7" s="37" t="s">
        <v>272</v>
      </c>
    </row>
    <row r="8" spans="1:33" x14ac:dyDescent="0.25">
      <c r="A8" s="1" t="s">
        <v>294</v>
      </c>
      <c r="B8" s="37">
        <v>230</v>
      </c>
      <c r="C8" s="29" t="s">
        <v>44</v>
      </c>
      <c r="I8" s="1"/>
      <c r="T8" s="1" t="s">
        <v>258</v>
      </c>
      <c r="U8" s="40">
        <f>MAX(R1:R4)</f>
        <v>289.51874291658561</v>
      </c>
      <c r="V8" s="37" t="s">
        <v>44</v>
      </c>
      <c r="W8" s="26"/>
      <c r="X8" s="1"/>
      <c r="Y8" s="26"/>
      <c r="Z8" s="1"/>
    </row>
    <row r="9" spans="1:33" x14ac:dyDescent="0.25">
      <c r="A9" s="1" t="s">
        <v>359</v>
      </c>
      <c r="B9" s="37">
        <v>2</v>
      </c>
      <c r="C9" s="29" t="s">
        <v>44</v>
      </c>
      <c r="I9" s="1"/>
      <c r="T9" s="1"/>
      <c r="U9" s="26"/>
      <c r="W9" s="26"/>
      <c r="X9" s="1"/>
      <c r="Y9" s="26"/>
      <c r="Z9" s="1"/>
    </row>
    <row r="10" spans="1:33" x14ac:dyDescent="0.25">
      <c r="I10" s="1"/>
      <c r="T10" s="1"/>
      <c r="W10" s="26"/>
      <c r="X10" s="1"/>
      <c r="Y10" s="26"/>
      <c r="Z10" s="1"/>
    </row>
    <row r="11" spans="1:33" x14ac:dyDescent="0.25">
      <c r="A11" s="1" t="s">
        <v>295</v>
      </c>
      <c r="B11" s="37">
        <f>B6/2</f>
        <v>165.2</v>
      </c>
      <c r="C11" s="29" t="s">
        <v>44</v>
      </c>
      <c r="I11" s="1"/>
    </row>
    <row r="12" spans="1:33" x14ac:dyDescent="0.25">
      <c r="A12" s="1" t="s">
        <v>296</v>
      </c>
      <c r="B12" s="37">
        <f>B7/2</f>
        <v>60.25</v>
      </c>
      <c r="C12" s="29" t="s">
        <v>44</v>
      </c>
      <c r="I12" s="1"/>
      <c r="T12" s="1"/>
    </row>
    <row r="13" spans="1:33" x14ac:dyDescent="0.25">
      <c r="A13" s="1" t="s">
        <v>297</v>
      </c>
      <c r="B13" s="37">
        <f>B8*(1+B14)</f>
        <v>230</v>
      </c>
      <c r="C13" s="29" t="s">
        <v>44</v>
      </c>
      <c r="I13" s="1"/>
    </row>
    <row r="14" spans="1:33" x14ac:dyDescent="0.25">
      <c r="A14" s="1" t="s">
        <v>298</v>
      </c>
      <c r="B14" s="6">
        <v>0</v>
      </c>
      <c r="I14" s="1"/>
      <c r="T14" s="1"/>
      <c r="U14" s="26"/>
      <c r="W14" s="26"/>
      <c r="X14" s="1"/>
      <c r="Y14" s="26"/>
      <c r="Z14" s="1"/>
    </row>
    <row r="15" spans="1:33" x14ac:dyDescent="0.25">
      <c r="I15" s="1"/>
      <c r="Z15" s="1"/>
      <c r="AA15" s="41"/>
    </row>
    <row r="16" spans="1:33" x14ac:dyDescent="0.25">
      <c r="A16" s="1" t="s">
        <v>299</v>
      </c>
      <c r="B16" s="6">
        <f>1/25</f>
        <v>0.04</v>
      </c>
    </row>
    <row r="17" spans="1:2" x14ac:dyDescent="0.25">
      <c r="A17" s="1" t="s">
        <v>290</v>
      </c>
      <c r="B17" s="37">
        <f>B6*$B$16</f>
        <v>13.215999999999999</v>
      </c>
    </row>
    <row r="18" spans="1:2" x14ac:dyDescent="0.25">
      <c r="A18" s="1" t="s">
        <v>292</v>
      </c>
      <c r="B18" s="37">
        <f>B7*$B$16</f>
        <v>4.82</v>
      </c>
    </row>
    <row r="19" spans="1:2" x14ac:dyDescent="0.25">
      <c r="A19" s="1" t="s">
        <v>294</v>
      </c>
      <c r="B19" s="37">
        <v>230</v>
      </c>
    </row>
    <row r="20" spans="1:2" x14ac:dyDescent="0.25">
      <c r="A20" s="1" t="s">
        <v>358</v>
      </c>
      <c r="B20" s="15">
        <f>B9*$B$16</f>
        <v>0.08</v>
      </c>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1">
    <tabColor rgb="FF006600"/>
  </sheetPr>
  <dimension ref="A1:R31"/>
  <sheetViews>
    <sheetView workbookViewId="0">
      <selection activeCell="I36" sqref="I36"/>
    </sheetView>
  </sheetViews>
  <sheetFormatPr defaultRowHeight="15" x14ac:dyDescent="0.25"/>
  <cols>
    <col min="1" max="1" width="13.42578125" bestFit="1" customWidth="1"/>
    <col min="2" max="2" width="9" bestFit="1" customWidth="1"/>
    <col min="14" max="15" width="9.140625" style="11"/>
  </cols>
  <sheetData>
    <row r="1" spans="1:18" x14ac:dyDescent="0.25">
      <c r="A1" s="62" t="s">
        <v>20</v>
      </c>
      <c r="B1" s="62"/>
    </row>
    <row r="2" spans="1:18" x14ac:dyDescent="0.25">
      <c r="A2" s="1" t="s">
        <v>25</v>
      </c>
      <c r="B2" s="11" t="s">
        <v>26</v>
      </c>
      <c r="N2" s="11" t="s">
        <v>36</v>
      </c>
      <c r="R2" s="16"/>
    </row>
    <row r="3" spans="1:18" x14ac:dyDescent="0.25">
      <c r="A3" s="13">
        <v>13641.5</v>
      </c>
      <c r="B3">
        <v>69.889499999999998</v>
      </c>
      <c r="N3" s="11">
        <v>2</v>
      </c>
      <c r="O3" s="10">
        <f>N3</f>
        <v>2</v>
      </c>
    </row>
    <row r="4" spans="1:18" x14ac:dyDescent="0.25">
      <c r="A4" s="13">
        <v>66240.5</v>
      </c>
      <c r="B4">
        <v>60.409199999999998</v>
      </c>
      <c r="N4" s="8">
        <v>1.75</v>
      </c>
      <c r="O4" s="10">
        <f>N4</f>
        <v>1.75</v>
      </c>
    </row>
    <row r="5" spans="1:18" x14ac:dyDescent="0.25">
      <c r="A5" s="13">
        <v>842129</v>
      </c>
      <c r="B5">
        <v>46.597900000000003</v>
      </c>
      <c r="N5" s="8">
        <v>1.5</v>
      </c>
      <c r="O5" s="10">
        <f>N5</f>
        <v>1.5</v>
      </c>
    </row>
    <row r="6" spans="1:18" x14ac:dyDescent="0.25">
      <c r="A6" s="13">
        <v>1510870</v>
      </c>
      <c r="B6">
        <v>44.328200000000002</v>
      </c>
      <c r="N6" s="8">
        <v>1.25</v>
      </c>
      <c r="O6" s="10">
        <f>N6</f>
        <v>1.25</v>
      </c>
    </row>
    <row r="7" spans="1:18" x14ac:dyDescent="0.25">
      <c r="A7" s="13">
        <v>3222910</v>
      </c>
      <c r="B7">
        <v>44.112900000000003</v>
      </c>
      <c r="N7" s="11">
        <v>1</v>
      </c>
      <c r="O7" s="10">
        <f>N7</f>
        <v>1</v>
      </c>
      <c r="P7" s="16"/>
    </row>
    <row r="8" spans="1:18" x14ac:dyDescent="0.25">
      <c r="A8" s="13">
        <v>147399000</v>
      </c>
      <c r="B8">
        <v>44.064100000000003</v>
      </c>
      <c r="N8" s="9">
        <f>15/16</f>
        <v>0.9375</v>
      </c>
      <c r="O8" s="11">
        <f>15/16</f>
        <v>0.9375</v>
      </c>
      <c r="P8" s="16"/>
    </row>
    <row r="9" spans="1:18" x14ac:dyDescent="0.25">
      <c r="N9" s="9">
        <f>7/8</f>
        <v>0.875</v>
      </c>
      <c r="O9" s="10">
        <f>7/8</f>
        <v>0.875</v>
      </c>
      <c r="P9" s="16"/>
    </row>
    <row r="10" spans="1:18" x14ac:dyDescent="0.25">
      <c r="A10" s="62" t="s">
        <v>23</v>
      </c>
      <c r="B10" s="62"/>
      <c r="N10" s="9">
        <f>13/16</f>
        <v>0.8125</v>
      </c>
      <c r="O10" s="11">
        <f>13/16</f>
        <v>0.8125</v>
      </c>
      <c r="P10" s="16"/>
    </row>
    <row r="11" spans="1:18" x14ac:dyDescent="0.25">
      <c r="A11" s="1" t="s">
        <v>25</v>
      </c>
      <c r="B11" s="11" t="s">
        <v>26</v>
      </c>
      <c r="N11" s="8">
        <v>0.75</v>
      </c>
      <c r="O11" s="10">
        <f>N11</f>
        <v>0.75</v>
      </c>
      <c r="P11" s="16"/>
    </row>
    <row r="12" spans="1:18" x14ac:dyDescent="0.25">
      <c r="A12" s="13">
        <v>7543.81</v>
      </c>
      <c r="B12">
        <v>53.856000000000002</v>
      </c>
      <c r="N12" s="9">
        <f>11/16</f>
        <v>0.6875</v>
      </c>
      <c r="O12" s="11">
        <f>11/16</f>
        <v>0.6875</v>
      </c>
      <c r="P12" s="16"/>
    </row>
    <row r="13" spans="1:18" x14ac:dyDescent="0.25">
      <c r="A13" s="13">
        <v>34180.9</v>
      </c>
      <c r="B13">
        <v>43.553899999999999</v>
      </c>
      <c r="N13" s="8">
        <f>5/8</f>
        <v>0.625</v>
      </c>
      <c r="O13" s="10">
        <f>5/8</f>
        <v>0.625</v>
      </c>
      <c r="P13" s="16"/>
    </row>
    <row r="14" spans="1:18" x14ac:dyDescent="0.25">
      <c r="A14" s="13">
        <v>160485</v>
      </c>
      <c r="B14">
        <v>35.924900000000001</v>
      </c>
      <c r="N14" s="9">
        <f>9/16</f>
        <v>0.5625</v>
      </c>
      <c r="O14" s="11">
        <f>9/16</f>
        <v>0.5625</v>
      </c>
      <c r="P14" s="16"/>
    </row>
    <row r="15" spans="1:18" x14ac:dyDescent="0.25">
      <c r="A15" s="13">
        <v>1500480</v>
      </c>
      <c r="B15">
        <v>28.287099999999999</v>
      </c>
      <c r="N15" s="8">
        <v>0.5</v>
      </c>
      <c r="O15" s="10">
        <f>N15</f>
        <v>0.5</v>
      </c>
      <c r="P15" s="16"/>
    </row>
    <row r="16" spans="1:18" x14ac:dyDescent="0.25">
      <c r="A16" s="13">
        <v>16108100</v>
      </c>
      <c r="B16">
        <v>21.675899999999999</v>
      </c>
      <c r="N16" s="9">
        <f>7/16</f>
        <v>0.4375</v>
      </c>
      <c r="O16" s="11">
        <f>7/16</f>
        <v>0.4375</v>
      </c>
      <c r="P16" s="16"/>
    </row>
    <row r="17" spans="1:16" x14ac:dyDescent="0.25">
      <c r="A17" s="13">
        <v>167205000</v>
      </c>
      <c r="B17">
        <v>16.916</v>
      </c>
      <c r="N17" s="8">
        <f>3/8</f>
        <v>0.375</v>
      </c>
      <c r="O17" s="10">
        <f>N17</f>
        <v>0.375</v>
      </c>
      <c r="P17" s="16"/>
    </row>
    <row r="18" spans="1:16" x14ac:dyDescent="0.25">
      <c r="N18" s="9">
        <f>5/16</f>
        <v>0.3125</v>
      </c>
      <c r="O18" s="11">
        <f>5/16</f>
        <v>0.3125</v>
      </c>
      <c r="P18" s="16"/>
    </row>
    <row r="19" spans="1:16" x14ac:dyDescent="0.25">
      <c r="A19" s="1" t="s">
        <v>31</v>
      </c>
      <c r="B19" s="11">
        <v>159.79</v>
      </c>
      <c r="N19" s="8">
        <f>1/4</f>
        <v>0.25</v>
      </c>
      <c r="O19" s="10">
        <f>N19</f>
        <v>0.25</v>
      </c>
      <c r="P19" s="16"/>
    </row>
    <row r="20" spans="1:16" x14ac:dyDescent="0.25">
      <c r="A20" s="1" t="s">
        <v>32</v>
      </c>
      <c r="B20" s="11">
        <v>-0.125</v>
      </c>
      <c r="N20" s="9">
        <f>3/16</f>
        <v>0.1875</v>
      </c>
      <c r="O20" s="10">
        <f>3/16</f>
        <v>0.1875</v>
      </c>
      <c r="P20" s="16"/>
    </row>
    <row r="21" spans="1:16" x14ac:dyDescent="0.25">
      <c r="A21" s="1" t="s">
        <v>33</v>
      </c>
      <c r="B21" s="14">
        <v>-2.0000000000000002E-5</v>
      </c>
      <c r="N21" s="8">
        <f>1/8</f>
        <v>0.125</v>
      </c>
      <c r="O21" s="10">
        <f>N21</f>
        <v>0.125</v>
      </c>
      <c r="P21" s="16"/>
    </row>
    <row r="22" spans="1:16" x14ac:dyDescent="0.25">
      <c r="A22" s="1" t="s">
        <v>32</v>
      </c>
      <c r="B22" s="11">
        <v>61.588000000000001</v>
      </c>
      <c r="N22" s="9">
        <f>1/16</f>
        <v>6.25E-2</v>
      </c>
      <c r="O22" s="10">
        <f>N22</f>
        <v>6.25E-2</v>
      </c>
      <c r="P22" s="16"/>
    </row>
    <row r="23" spans="1:16" x14ac:dyDescent="0.25">
      <c r="N23" s="9">
        <f>1/32</f>
        <v>3.125E-2</v>
      </c>
      <c r="O23" s="10">
        <f>N23</f>
        <v>3.125E-2</v>
      </c>
    </row>
    <row r="24" spans="1:16" ht="15.75" thickBot="1" x14ac:dyDescent="0.3">
      <c r="A24" s="62" t="s">
        <v>27</v>
      </c>
      <c r="B24" s="63"/>
      <c r="N24" s="9">
        <f>1/64</f>
        <v>1.5625E-2</v>
      </c>
      <c r="O24" s="10">
        <f>N24</f>
        <v>1.5625E-2</v>
      </c>
    </row>
    <row r="25" spans="1:16" ht="15.75" thickBot="1" x14ac:dyDescent="0.3">
      <c r="A25" s="1" t="s">
        <v>28</v>
      </c>
      <c r="B25" s="54">
        <f>Initial!B29</f>
        <v>100000</v>
      </c>
    </row>
    <row r="26" spans="1:16" x14ac:dyDescent="0.25">
      <c r="A26" s="1" t="s">
        <v>29</v>
      </c>
      <c r="B26" s="3">
        <f>B19*(B25^B20)</f>
        <v>37.892180442767589</v>
      </c>
      <c r="C26" t="s">
        <v>26</v>
      </c>
    </row>
    <row r="27" spans="1:16" x14ac:dyDescent="0.25">
      <c r="A27" s="1" t="s">
        <v>30</v>
      </c>
      <c r="B27" s="3">
        <f>B21*B25+B22</f>
        <v>59.588000000000001</v>
      </c>
      <c r="C27" t="s">
        <v>26</v>
      </c>
    </row>
    <row r="28" spans="1:16" x14ac:dyDescent="0.25">
      <c r="A28" s="1" t="s">
        <v>35</v>
      </c>
      <c r="B28" s="15">
        <f>2*SQRT(Initial!$B$8/(PI()*B26*1000))</f>
        <v>0.57966924758794358</v>
      </c>
      <c r="C28" t="s">
        <v>44</v>
      </c>
    </row>
    <row r="29" spans="1:16" x14ac:dyDescent="0.25">
      <c r="A29" s="1" t="s">
        <v>35</v>
      </c>
      <c r="B29" s="9">
        <f>INDEX($N$3:$O$24,MATCH(B28,$O$3:$O$24,-1),1)</f>
        <v>0.625</v>
      </c>
      <c r="C29" t="s">
        <v>44</v>
      </c>
    </row>
    <row r="30" spans="1:16" x14ac:dyDescent="0.25">
      <c r="A30" s="1" t="s">
        <v>34</v>
      </c>
      <c r="B30" s="15">
        <f>2*SQRT(Initial!$B$8/(PI()*B27*1000))</f>
        <v>0.46224865350861916</v>
      </c>
      <c r="C30" t="s">
        <v>44</v>
      </c>
    </row>
    <row r="31" spans="1:16" x14ac:dyDescent="0.25">
      <c r="A31" s="1" t="s">
        <v>34</v>
      </c>
      <c r="B31" s="9">
        <f>INDEX($N$3:$O$24,MATCH(B30,$O$3:$O$24,-1),1)</f>
        <v>0.5</v>
      </c>
      <c r="C31" t="s">
        <v>44</v>
      </c>
    </row>
  </sheetData>
  <mergeCells count="3">
    <mergeCell ref="A1:B1"/>
    <mergeCell ref="A10:B10"/>
    <mergeCell ref="A24:B2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6600"/>
  </sheetPr>
  <dimension ref="A1:I23"/>
  <sheetViews>
    <sheetView topLeftCell="B1" workbookViewId="0">
      <selection activeCell="H15" sqref="H15"/>
    </sheetView>
  </sheetViews>
  <sheetFormatPr defaultRowHeight="15" x14ac:dyDescent="0.25"/>
  <cols>
    <col min="1" max="1" width="9" style="1" bestFit="1" customWidth="1"/>
    <col min="2" max="2" width="2.7109375" style="1" customWidth="1"/>
    <col min="3" max="3" width="22.5703125" style="1" bestFit="1" customWidth="1"/>
    <col min="4" max="4" width="11.85546875" customWidth="1"/>
    <col min="5" max="5" width="5" bestFit="1" customWidth="1"/>
    <col min="6" max="6" width="9" bestFit="1" customWidth="1"/>
    <col min="7" max="7" width="12.85546875" customWidth="1"/>
    <col min="8" max="8" width="48" bestFit="1" customWidth="1"/>
    <col min="9" max="9" width="11.42578125" style="12" bestFit="1" customWidth="1"/>
    <col min="10" max="11" width="5" bestFit="1" customWidth="1"/>
  </cols>
  <sheetData>
    <row r="1" spans="1:9" s="29" customFormat="1" ht="15.75" thickBot="1" x14ac:dyDescent="0.3">
      <c r="A1" s="1"/>
      <c r="B1" s="1"/>
      <c r="C1" s="62" t="s">
        <v>309</v>
      </c>
      <c r="D1" s="62"/>
      <c r="E1" s="62"/>
      <c r="I1" s="43"/>
    </row>
    <row r="2" spans="1:9" s="18" customFormat="1" ht="15" customHeight="1" thickBot="1" x14ac:dyDescent="0.3">
      <c r="A2" s="1" t="s">
        <v>39</v>
      </c>
      <c r="B2" s="1"/>
      <c r="C2" s="1" t="s">
        <v>306</v>
      </c>
      <c r="D2" s="57">
        <f>Initial!B25</f>
        <v>20</v>
      </c>
      <c r="E2" s="17" t="s">
        <v>41</v>
      </c>
      <c r="F2" s="1" t="s">
        <v>320</v>
      </c>
    </row>
    <row r="3" spans="1:9" ht="15" customHeight="1" thickBot="1" x14ac:dyDescent="0.3">
      <c r="A3" s="1" t="s">
        <v>39</v>
      </c>
      <c r="C3" s="1" t="s">
        <v>306</v>
      </c>
      <c r="D3" s="12">
        <f>(D2*9/5)+32</f>
        <v>68</v>
      </c>
      <c r="E3" s="17" t="s">
        <v>42</v>
      </c>
    </row>
    <row r="4" spans="1:9" ht="15" customHeight="1" thickBot="1" x14ac:dyDescent="0.3">
      <c r="A4" s="1" t="s">
        <v>40</v>
      </c>
      <c r="C4" s="1" t="s">
        <v>307</v>
      </c>
      <c r="D4" s="57">
        <f>Initial!B27</f>
        <v>-40</v>
      </c>
      <c r="E4" s="17" t="s">
        <v>41</v>
      </c>
      <c r="F4" s="1" t="s">
        <v>320</v>
      </c>
    </row>
    <row r="5" spans="1:9" ht="15" customHeight="1" x14ac:dyDescent="0.25">
      <c r="A5" s="1" t="s">
        <v>39</v>
      </c>
      <c r="C5" s="1" t="s">
        <v>307</v>
      </c>
      <c r="D5" s="12">
        <f>(D4*9/5)+32</f>
        <v>-40</v>
      </c>
      <c r="E5" s="17" t="s">
        <v>42</v>
      </c>
    </row>
    <row r="6" spans="1:9" ht="15" customHeight="1" thickBot="1" x14ac:dyDescent="0.3">
      <c r="A6" s="1" t="s">
        <v>43</v>
      </c>
      <c r="C6" s="1" t="s">
        <v>308</v>
      </c>
      <c r="D6" s="3">
        <f>(D7-32)*(5/9)</f>
        <v>51.666666666666671</v>
      </c>
      <c r="E6" s="17" t="s">
        <v>41</v>
      </c>
    </row>
    <row r="7" spans="1:9" ht="15" customHeight="1" thickBot="1" x14ac:dyDescent="0.3">
      <c r="A7" s="1" t="s">
        <v>43</v>
      </c>
      <c r="C7" s="1" t="s">
        <v>308</v>
      </c>
      <c r="D7" s="57">
        <f>Initial!B26</f>
        <v>125</v>
      </c>
      <c r="E7" s="17" t="s">
        <v>42</v>
      </c>
      <c r="F7" s="1" t="s">
        <v>320</v>
      </c>
    </row>
    <row r="8" spans="1:9" ht="15" customHeight="1" x14ac:dyDescent="0.25">
      <c r="C8" s="1" t="s">
        <v>310</v>
      </c>
      <c r="D8" s="3">
        <f>MAX(D2-D4,D6-D2)</f>
        <v>60</v>
      </c>
      <c r="E8" s="17" t="s">
        <v>41</v>
      </c>
    </row>
    <row r="9" spans="1:9" ht="15" customHeight="1" x14ac:dyDescent="0.35">
      <c r="A9" s="1" t="s">
        <v>220</v>
      </c>
      <c r="C9" s="1" t="s">
        <v>310</v>
      </c>
      <c r="D9" s="43">
        <f>MAX(D3-D5,D7-D3)</f>
        <v>108</v>
      </c>
      <c r="E9" s="17" t="s">
        <v>42</v>
      </c>
    </row>
    <row r="10" spans="1:9" ht="15" customHeight="1" thickBot="1" x14ac:dyDescent="0.3"/>
    <row r="11" spans="1:9" ht="18.75" customHeight="1" thickBot="1" x14ac:dyDescent="0.3">
      <c r="C11" s="1" t="s">
        <v>312</v>
      </c>
      <c r="D11" s="48" t="s">
        <v>23</v>
      </c>
      <c r="E11" s="21">
        <f>INDEX('Temp Co'!$B$2:$C$172,MATCH(D11,'Temp Co'!$B$2:$B$172,0),2)</f>
        <v>12.3</v>
      </c>
      <c r="F11" t="s">
        <v>321</v>
      </c>
    </row>
    <row r="12" spans="1:9" ht="18.75" thickBot="1" x14ac:dyDescent="0.4">
      <c r="A12" s="1" t="s">
        <v>221</v>
      </c>
      <c r="C12" s="1" t="s">
        <v>313</v>
      </c>
      <c r="D12" s="48" t="s">
        <v>20</v>
      </c>
      <c r="E12" s="21">
        <f>INDEX('Temp Co'!$B$2:$C$172,MATCH(D12,'Temp Co'!$B$2:$B$172,0),2)</f>
        <v>7.3</v>
      </c>
      <c r="F12" s="29" t="s">
        <v>321</v>
      </c>
    </row>
    <row r="13" spans="1:9" ht="15" customHeight="1" thickBot="1" x14ac:dyDescent="0.3">
      <c r="C13" s="1" t="s">
        <v>311</v>
      </c>
      <c r="D13" s="56">
        <f>Initial!B14</f>
        <v>25</v>
      </c>
      <c r="E13" t="s">
        <v>6</v>
      </c>
      <c r="F13" s="1" t="s">
        <v>320</v>
      </c>
    </row>
    <row r="14" spans="1:9" ht="15" customHeight="1" x14ac:dyDescent="0.25">
      <c r="A14" s="1" t="s">
        <v>38</v>
      </c>
      <c r="C14" s="1" t="s">
        <v>311</v>
      </c>
      <c r="D14" s="43">
        <f>12*D13</f>
        <v>300</v>
      </c>
      <c r="E14" t="s">
        <v>44</v>
      </c>
    </row>
    <row r="15" spans="1:9" ht="15" customHeight="1" x14ac:dyDescent="0.25">
      <c r="A15" s="1" t="s">
        <v>214</v>
      </c>
      <c r="C15" s="1" t="s">
        <v>314</v>
      </c>
      <c r="D15" s="12">
        <f>(D9*D14*E11*10^-6)</f>
        <v>0.39851999999999999</v>
      </c>
      <c r="E15" s="21" t="s">
        <v>44</v>
      </c>
    </row>
    <row r="16" spans="1:9" ht="15" customHeight="1" x14ac:dyDescent="0.25">
      <c r="A16" s="1" t="s">
        <v>215</v>
      </c>
      <c r="C16" s="1" t="s">
        <v>315</v>
      </c>
      <c r="D16" s="43">
        <f>(D9*D14*E12*10^-6)</f>
        <v>0.23651999999999998</v>
      </c>
      <c r="E16" s="21" t="s">
        <v>44</v>
      </c>
      <c r="F16" s="20"/>
    </row>
    <row r="17" spans="1:5" x14ac:dyDescent="0.25">
      <c r="A17" s="1" t="s">
        <v>216</v>
      </c>
    </row>
    <row r="18" spans="1:5" x14ac:dyDescent="0.25">
      <c r="A18" s="1" t="s">
        <v>37</v>
      </c>
      <c r="D18" s="12"/>
      <c r="E18" s="17"/>
    </row>
    <row r="19" spans="1:5" x14ac:dyDescent="0.25">
      <c r="A19" s="1" t="s">
        <v>37</v>
      </c>
      <c r="D19" s="12"/>
      <c r="E19" s="17"/>
    </row>
    <row r="20" spans="1:5" ht="18" x14ac:dyDescent="0.35">
      <c r="A20" s="1" t="s">
        <v>218</v>
      </c>
      <c r="D20" s="12"/>
      <c r="E20" s="17"/>
    </row>
    <row r="21" spans="1:5" ht="18" x14ac:dyDescent="0.35">
      <c r="A21" s="1" t="s">
        <v>219</v>
      </c>
      <c r="D21" s="12"/>
    </row>
    <row r="22" spans="1:5" x14ac:dyDescent="0.25">
      <c r="D22" s="5"/>
    </row>
    <row r="23" spans="1:5" x14ac:dyDescent="0.25">
      <c r="D23" s="12"/>
    </row>
  </sheetData>
  <mergeCells count="1">
    <mergeCell ref="C1:E1"/>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'Temp Co'!$B$2:$B$172</xm:f>
          </x14:formula1>
          <xm:sqref>D11 D12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900FF"/>
  </sheetPr>
  <dimension ref="B1:F39"/>
  <sheetViews>
    <sheetView topLeftCell="A19" workbookViewId="0">
      <selection activeCell="K19" sqref="K19"/>
    </sheetView>
  </sheetViews>
  <sheetFormatPr defaultRowHeight="15" x14ac:dyDescent="0.25"/>
  <cols>
    <col min="1" max="1" width="2.7109375" customWidth="1"/>
    <col min="2" max="2" width="35.85546875" bestFit="1" customWidth="1"/>
    <col min="3" max="3" width="12.140625" customWidth="1"/>
    <col min="4" max="4" width="5.5703125" bestFit="1" customWidth="1"/>
    <col min="7" max="7" width="2" bestFit="1" customWidth="1"/>
    <col min="8" max="8" width="5" bestFit="1" customWidth="1"/>
    <col min="9" max="9" width="3.7109375" bestFit="1" customWidth="1"/>
  </cols>
  <sheetData>
    <row r="1" spans="2:6" s="29" customFormat="1" ht="15.75" thickBot="1" x14ac:dyDescent="0.3"/>
    <row r="2" spans="2:6" s="29" customFormat="1" ht="15.75" thickBot="1" x14ac:dyDescent="0.3">
      <c r="B2" s="1" t="s">
        <v>304</v>
      </c>
      <c r="C2" s="48" t="s">
        <v>230</v>
      </c>
    </row>
    <row r="3" spans="2:6" s="29" customFormat="1" x14ac:dyDescent="0.25"/>
    <row r="4" spans="2:6" s="29" customFormat="1" x14ac:dyDescent="0.25">
      <c r="B4" s="1" t="s">
        <v>305</v>
      </c>
      <c r="C4" s="30" t="str">
        <f>C2</f>
        <v>Mars</v>
      </c>
      <c r="D4" s="15">
        <f>INDEX('Planet Gravity'!B3:C12,MATCH(C4,'Planet Gravity'!B3:B12,0),2)</f>
        <v>0.38</v>
      </c>
    </row>
    <row r="5" spans="2:6" s="29" customFormat="1" ht="15.75" thickBot="1" x14ac:dyDescent="0.3"/>
    <row r="6" spans="2:6" ht="15.75" thickBot="1" x14ac:dyDescent="0.3">
      <c r="B6" s="1" t="s">
        <v>302</v>
      </c>
      <c r="C6" s="48" t="s">
        <v>23</v>
      </c>
      <c r="D6" s="29"/>
      <c r="E6" s="30"/>
      <c r="F6" s="30"/>
    </row>
    <row r="7" spans="2:6" ht="17.25" x14ac:dyDescent="0.25">
      <c r="B7" s="1" t="s">
        <v>334</v>
      </c>
      <c r="C7" s="15">
        <f>(((INDEX(Initial!$E$22:$I$25,MATCH(C6,Initial!$E$22:$E$25,0),3))))</f>
        <v>3.6815538909255388</v>
      </c>
      <c r="D7" s="42" t="s">
        <v>301</v>
      </c>
      <c r="E7" s="30"/>
      <c r="F7" s="30"/>
    </row>
    <row r="8" spans="2:6" x14ac:dyDescent="0.25">
      <c r="B8" s="1" t="s">
        <v>335</v>
      </c>
      <c r="C8" s="15">
        <f>C7*INDEX('Material Weight'!$B$2:$D$39,MATCH(C6,'Material Weight'!$B$2:$B$39,0),3)</f>
        <v>0.33133985018329848</v>
      </c>
      <c r="D8" s="42" t="s">
        <v>0</v>
      </c>
      <c r="E8" s="30"/>
      <c r="F8" s="30"/>
    </row>
    <row r="9" spans="2:6" ht="17.25" x14ac:dyDescent="0.25">
      <c r="B9" s="1" t="s">
        <v>336</v>
      </c>
      <c r="C9" s="15">
        <f>(((INDEX('Planet Design'!$E$22:$I$25,MATCH(C6,'Planet Design'!$E$22:$E$25,0),3))))</f>
        <v>1.4381069886427886</v>
      </c>
      <c r="D9" s="42" t="s">
        <v>301</v>
      </c>
      <c r="E9" s="30"/>
      <c r="F9" s="30"/>
    </row>
    <row r="10" spans="2:6" x14ac:dyDescent="0.25">
      <c r="B10" s="1" t="s">
        <v>337</v>
      </c>
      <c r="C10" s="15">
        <f>C9*INDEX('Material Weight'!$B$2:$D$39,MATCH(C6,'Material Weight'!$B$2:$B$39,0),3)</f>
        <v>0.12942962897785099</v>
      </c>
      <c r="D10" s="42" t="s">
        <v>0</v>
      </c>
      <c r="E10" s="30"/>
      <c r="F10" s="30"/>
    </row>
    <row r="11" spans="2:6" s="29" customFormat="1" ht="17.25" x14ac:dyDescent="0.25">
      <c r="B11" s="1" t="s">
        <v>342</v>
      </c>
      <c r="C11" s="15">
        <f>(((INDEX(Initial!$E$22:$I$25,MATCH(C6,Initial!$E$22:$E$25,0),5))))</f>
        <v>7.9940914086031993</v>
      </c>
      <c r="D11" s="43" t="s">
        <v>301</v>
      </c>
      <c r="E11" s="43"/>
      <c r="F11" s="43"/>
    </row>
    <row r="12" spans="2:6" s="29" customFormat="1" x14ac:dyDescent="0.25">
      <c r="B12" s="1" t="s">
        <v>343</v>
      </c>
      <c r="C12" s="15">
        <f>C11*INDEX('Material Weight'!$B$2:$D$39,MATCH(C6,'Material Weight'!$B$2:$B$39,0),3)</f>
        <v>0.7194682267742879</v>
      </c>
      <c r="D12" s="43" t="s">
        <v>0</v>
      </c>
      <c r="E12" s="43"/>
      <c r="F12" s="43"/>
    </row>
    <row r="13" spans="2:6" s="29" customFormat="1" ht="17.25" x14ac:dyDescent="0.25">
      <c r="B13" s="1" t="s">
        <v>344</v>
      </c>
      <c r="C13" s="15">
        <f>(((INDEX('Planet Design'!$E$22:$I$25,MATCH(C6,'Planet Design'!$E$22:$E$25,0),5))))</f>
        <v>1.5403283541406079</v>
      </c>
      <c r="D13" s="43" t="s">
        <v>301</v>
      </c>
      <c r="E13" s="43"/>
      <c r="F13" s="43"/>
    </row>
    <row r="14" spans="2:6" s="29" customFormat="1" x14ac:dyDescent="0.25">
      <c r="B14" s="1" t="s">
        <v>345</v>
      </c>
      <c r="C14" s="15">
        <f>C13*INDEX('Material Weight'!$B$2:$D$39,MATCH(C6,'Material Weight'!$B$2:$B$39,0),3)</f>
        <v>0.13862955187265472</v>
      </c>
      <c r="D14" s="43" t="s">
        <v>0</v>
      </c>
      <c r="E14" s="43"/>
      <c r="F14" s="43"/>
    </row>
    <row r="15" spans="2:6" s="29" customFormat="1" ht="15.75" thickBot="1" x14ac:dyDescent="0.3">
      <c r="B15" s="1"/>
      <c r="C15" s="15"/>
      <c r="D15" s="42"/>
      <c r="E15" s="42"/>
      <c r="F15" s="42"/>
    </row>
    <row r="16" spans="2:6" ht="15.75" thickBot="1" x14ac:dyDescent="0.3">
      <c r="B16" s="1" t="s">
        <v>303</v>
      </c>
      <c r="C16" s="48" t="s">
        <v>20</v>
      </c>
      <c r="D16" s="29"/>
      <c r="E16" s="30"/>
      <c r="F16" s="30"/>
    </row>
    <row r="17" spans="2:6" ht="17.25" x14ac:dyDescent="0.25">
      <c r="B17" s="1" t="s">
        <v>334</v>
      </c>
      <c r="C17" s="15">
        <f>(((INDEX(Initial!$E$22:$G$25,MATCH(C16,Initial!$E$22:$E$25,0),3))))</f>
        <v>1.4381069886427886</v>
      </c>
      <c r="D17" s="42" t="s">
        <v>301</v>
      </c>
      <c r="E17" s="30"/>
      <c r="F17" s="30"/>
    </row>
    <row r="18" spans="2:6" x14ac:dyDescent="0.25">
      <c r="B18" s="1" t="s">
        <v>335</v>
      </c>
      <c r="C18" s="15">
        <f>C17*INDEX('Material Weight'!$B$2:$D$39,MATCH(C16,'Material Weight'!$B$2:$B$39,0),3)</f>
        <v>0.37642757715543079</v>
      </c>
      <c r="D18" s="42" t="s">
        <v>0</v>
      </c>
      <c r="E18" s="30"/>
      <c r="F18" s="30"/>
    </row>
    <row r="19" spans="2:6" ht="17.25" x14ac:dyDescent="0.25">
      <c r="B19" s="1" t="s">
        <v>336</v>
      </c>
      <c r="C19" s="15">
        <f>(((INDEX('Planet Design'!$E$22:$G$25,MATCH(C16,'Planet Design'!$E$22:$E$25,0),3))))</f>
        <v>0.51771851591140394</v>
      </c>
      <c r="D19" s="42" t="s">
        <v>301</v>
      </c>
      <c r="E19" s="30"/>
      <c r="F19" s="30"/>
    </row>
    <row r="20" spans="2:6" x14ac:dyDescent="0.25">
      <c r="B20" s="1" t="s">
        <v>337</v>
      </c>
      <c r="C20" s="15">
        <f>C19*INDEX('Material Weight'!$B$2:$D$39,MATCH(C16,'Material Weight'!$B$2:$B$39,0),3)</f>
        <v>0.13551392777595511</v>
      </c>
      <c r="D20" s="42" t="s">
        <v>0</v>
      </c>
      <c r="E20" s="30"/>
      <c r="F20" s="30"/>
    </row>
    <row r="21" spans="2:6" ht="17.25" x14ac:dyDescent="0.25">
      <c r="B21" s="1" t="s">
        <v>342</v>
      </c>
      <c r="C21" s="15">
        <f>(((INDEX(Initial!$E$22:$I$25,MATCH(C16,Initial!$E$22:$E$25,0),5))))</f>
        <v>3.5529295149347551</v>
      </c>
      <c r="D21" s="43" t="s">
        <v>301</v>
      </c>
      <c r="E21" s="30"/>
      <c r="F21" s="30"/>
    </row>
    <row r="22" spans="2:6" s="29" customFormat="1" x14ac:dyDescent="0.25">
      <c r="B22" s="1" t="s">
        <v>343</v>
      </c>
      <c r="C22" s="15">
        <f>C21*INDEX('Material Weight'!$B$2:$D$39,MATCH(C16,'Material Weight'!$B$2:$B$39,0),3)</f>
        <v>0.92998689226390496</v>
      </c>
      <c r="D22" s="43" t="s">
        <v>0</v>
      </c>
      <c r="E22" s="43"/>
      <c r="F22" s="43"/>
    </row>
    <row r="23" spans="2:6" s="29" customFormat="1" ht="17.25" x14ac:dyDescent="0.25">
      <c r="B23" s="1" t="s">
        <v>344</v>
      </c>
      <c r="C23" s="15">
        <f>(((INDEX('Planet Design'!$E$22:$I$25,MATCH(C16,'Planet Design'!$E$22:$E$25,0),5))))</f>
        <v>0.68459037961804803</v>
      </c>
      <c r="D23" s="43" t="s">
        <v>301</v>
      </c>
      <c r="E23" s="43"/>
      <c r="F23" s="43"/>
    </row>
    <row r="24" spans="2:6" s="29" customFormat="1" x14ac:dyDescent="0.25">
      <c r="B24" s="1" t="s">
        <v>345</v>
      </c>
      <c r="C24" s="15">
        <f>C23*INDEX('Material Weight'!$B$2:$D$39,MATCH(C16,'Material Weight'!$B$2:$B$39,0),3)</f>
        <v>0.17919299466498054</v>
      </c>
      <c r="D24" s="43" t="s">
        <v>0</v>
      </c>
      <c r="E24" s="43"/>
      <c r="F24" s="43"/>
    </row>
    <row r="25" spans="2:6" s="29" customFormat="1" x14ac:dyDescent="0.25">
      <c r="E25" s="43"/>
      <c r="F25" s="43"/>
    </row>
    <row r="26" spans="2:6" x14ac:dyDescent="0.25">
      <c r="B26" s="1" t="s">
        <v>338</v>
      </c>
      <c r="C26" s="28">
        <f>C8</f>
        <v>0.33133985018329848</v>
      </c>
      <c r="D26" s="42" t="s">
        <v>0</v>
      </c>
      <c r="E26" s="30"/>
      <c r="F26" s="30"/>
    </row>
    <row r="27" spans="2:6" x14ac:dyDescent="0.25">
      <c r="B27" s="1" t="s">
        <v>339</v>
      </c>
      <c r="C27" s="28">
        <f>C18</f>
        <v>0.37642757715543079</v>
      </c>
      <c r="D27" s="42" t="s">
        <v>0</v>
      </c>
      <c r="E27" s="30"/>
      <c r="F27" s="30"/>
    </row>
    <row r="28" spans="2:6" x14ac:dyDescent="0.25">
      <c r="B28" s="1" t="s">
        <v>340</v>
      </c>
      <c r="C28" s="15">
        <f>C10</f>
        <v>0.12942962897785099</v>
      </c>
      <c r="D28" s="42" t="s">
        <v>0</v>
      </c>
    </row>
    <row r="29" spans="2:6" x14ac:dyDescent="0.25">
      <c r="B29" s="1" t="s">
        <v>341</v>
      </c>
      <c r="C29" s="15">
        <f>C20</f>
        <v>0.13551392777595511</v>
      </c>
      <c r="D29" s="42" t="s">
        <v>0</v>
      </c>
    </row>
    <row r="30" spans="2:6" x14ac:dyDescent="0.25">
      <c r="B30" s="1" t="s">
        <v>346</v>
      </c>
      <c r="C30" s="28">
        <f>C12</f>
        <v>0.7194682267742879</v>
      </c>
      <c r="D30" s="43" t="s">
        <v>0</v>
      </c>
    </row>
    <row r="31" spans="2:6" x14ac:dyDescent="0.25">
      <c r="B31" s="1" t="s">
        <v>347</v>
      </c>
      <c r="C31" s="28">
        <f>C22</f>
        <v>0.92998689226390496</v>
      </c>
      <c r="D31" s="43" t="s">
        <v>0</v>
      </c>
    </row>
    <row r="32" spans="2:6" x14ac:dyDescent="0.25">
      <c r="B32" s="1" t="s">
        <v>348</v>
      </c>
      <c r="C32" s="15">
        <f>C14</f>
        <v>0.13862955187265472</v>
      </c>
      <c r="D32" s="43" t="s">
        <v>0</v>
      </c>
    </row>
    <row r="33" spans="2:4" x14ac:dyDescent="0.25">
      <c r="B33" s="1" t="s">
        <v>349</v>
      </c>
      <c r="C33" s="15">
        <f>C24</f>
        <v>0.17919299466498054</v>
      </c>
      <c r="D33" s="43" t="s">
        <v>0</v>
      </c>
    </row>
    <row r="35" spans="2:4" x14ac:dyDescent="0.25">
      <c r="B35" s="1" t="s">
        <v>354</v>
      </c>
      <c r="C35" s="49">
        <f>SUM(C26,C30)</f>
        <v>1.0508080769575865</v>
      </c>
      <c r="D35" s="43" t="s">
        <v>0</v>
      </c>
    </row>
    <row r="36" spans="2:4" x14ac:dyDescent="0.25">
      <c r="B36" s="1" t="s">
        <v>356</v>
      </c>
      <c r="C36" s="49">
        <f>SUM(C27,C31)</f>
        <v>1.3064144694193358</v>
      </c>
      <c r="D36" s="43" t="s">
        <v>0</v>
      </c>
    </row>
    <row r="37" spans="2:4" x14ac:dyDescent="0.25">
      <c r="B37" s="1" t="s">
        <v>355</v>
      </c>
      <c r="C37" s="49">
        <f>SUM(C28,C32)</f>
        <v>0.26805918085050573</v>
      </c>
      <c r="D37" s="43" t="s">
        <v>0</v>
      </c>
    </row>
    <row r="38" spans="2:4" x14ac:dyDescent="0.25">
      <c r="B38" s="1" t="s">
        <v>357</v>
      </c>
      <c r="C38" s="49">
        <f>SUM(C29,C33)</f>
        <v>0.31470692244093568</v>
      </c>
      <c r="D38" s="43" t="s">
        <v>0</v>
      </c>
    </row>
    <row r="39" spans="2:4" x14ac:dyDescent="0.25">
      <c r="C39" s="49"/>
    </row>
  </sheetData>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'Planet Gravity'!$B$3:$B$12</xm:f>
          </x14:formula1>
          <xm:sqref>C2</xm:sqref>
        </x14:dataValidation>
        <x14:dataValidation type="list" allowBlank="1" showInputMessage="1" showErrorMessage="1">
          <x14:formula1>
            <xm:f>'Material Weight'!$B$2:$B$39</xm:f>
          </x14:formula1>
          <xm:sqref>C6 C16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FF0000"/>
  </sheetPr>
  <dimension ref="A1:AE25"/>
  <sheetViews>
    <sheetView workbookViewId="0">
      <selection activeCell="C31" sqref="C31"/>
    </sheetView>
  </sheetViews>
  <sheetFormatPr defaultColWidth="9.140625" defaultRowHeight="15" x14ac:dyDescent="0.25"/>
  <cols>
    <col min="1" max="1" width="29.85546875" style="1" bestFit="1" customWidth="1"/>
    <col min="2" max="2" width="10.140625" style="29" bestFit="1" customWidth="1"/>
    <col min="3" max="3" width="4" style="29" bestFit="1" customWidth="1"/>
    <col min="4" max="4" width="2.7109375" style="29" customWidth="1"/>
    <col min="5" max="5" width="11.28515625" style="1" bestFit="1" customWidth="1"/>
    <col min="6" max="9" width="10.7109375" style="29" customWidth="1"/>
    <col min="10" max="10" width="2.7109375" style="29" customWidth="1"/>
    <col min="11" max="11" width="8.85546875" style="29" bestFit="1" customWidth="1"/>
    <col min="12" max="12" width="6.28515625" style="29" bestFit="1" customWidth="1"/>
    <col min="13" max="13" width="8.42578125" style="29" bestFit="1" customWidth="1"/>
    <col min="14" max="14" width="2.7109375" style="29" customWidth="1"/>
    <col min="15" max="15" width="8.28515625" style="29" bestFit="1" customWidth="1"/>
    <col min="16" max="16" width="9.140625" style="29"/>
    <col min="17" max="18" width="6.28515625" style="29" bestFit="1" customWidth="1"/>
    <col min="19" max="19" width="8.42578125" style="29" bestFit="1" customWidth="1"/>
    <col min="20" max="20" width="2.7109375" style="29" customWidth="1"/>
    <col min="21" max="21" width="9" style="29" bestFit="1" customWidth="1"/>
    <col min="22" max="22" width="6.85546875" style="29" bestFit="1" customWidth="1"/>
    <col min="23" max="23" width="6.5703125" style="29" bestFit="1" customWidth="1"/>
    <col min="24" max="24" width="6.28515625" style="29" bestFit="1" customWidth="1"/>
    <col min="25" max="25" width="8.42578125" style="29" bestFit="1" customWidth="1"/>
    <col min="26" max="26" width="2.7109375" style="29" customWidth="1"/>
    <col min="27" max="27" width="11.28515625" style="29" bestFit="1" customWidth="1"/>
    <col min="28" max="28" width="6.85546875" style="29" bestFit="1" customWidth="1"/>
    <col min="29" max="29" width="6.5703125" style="29" bestFit="1" customWidth="1"/>
    <col min="30" max="30" width="6.28515625" style="29" bestFit="1" customWidth="1"/>
    <col min="31" max="31" width="8.42578125" style="29" bestFit="1" customWidth="1"/>
    <col min="32" max="16384" width="9.140625" style="29"/>
  </cols>
  <sheetData>
    <row r="1" spans="1:31" x14ac:dyDescent="0.25">
      <c r="F1" s="62" t="s">
        <v>326</v>
      </c>
      <c r="G1" s="62"/>
      <c r="H1" s="62"/>
      <c r="I1" s="62"/>
    </row>
    <row r="2" spans="1:31" x14ac:dyDescent="0.25">
      <c r="A2" s="1" t="s">
        <v>319</v>
      </c>
      <c r="B2" s="12" t="s">
        <v>14</v>
      </c>
      <c r="F2" s="31" t="s">
        <v>23</v>
      </c>
      <c r="G2" s="31" t="s">
        <v>19</v>
      </c>
      <c r="H2" s="31" t="s">
        <v>21</v>
      </c>
      <c r="I2" s="31" t="s">
        <v>20</v>
      </c>
      <c r="L2" s="12"/>
      <c r="M2" s="12"/>
      <c r="P2" s="12"/>
      <c r="Q2" s="61"/>
      <c r="R2" s="61"/>
      <c r="S2" s="61"/>
      <c r="V2" s="12"/>
      <c r="W2" s="61"/>
      <c r="X2" s="61"/>
      <c r="Y2" s="61"/>
      <c r="AB2" s="12"/>
      <c r="AC2" s="61"/>
      <c r="AD2" s="61"/>
      <c r="AE2" s="61"/>
    </row>
    <row r="3" spans="1:31" x14ac:dyDescent="0.25">
      <c r="A3" s="1" t="s">
        <v>1</v>
      </c>
      <c r="B3" s="5">
        <v>10000000</v>
      </c>
      <c r="C3" s="29" t="s">
        <v>13</v>
      </c>
      <c r="E3" s="1" t="s">
        <v>24</v>
      </c>
      <c r="F3" s="7">
        <f>$B$10/($B$3*$B$25)</f>
        <v>3.7999999999999948E-3</v>
      </c>
      <c r="G3" s="7">
        <f>$B$10/($B$4*$B$25)</f>
        <v>3.1666666666666623E-3</v>
      </c>
      <c r="H3" s="7">
        <f>$B$10/($B$5*$B$25)</f>
        <v>2.5333333333333297E-3</v>
      </c>
      <c r="I3" s="7">
        <f>$B$10/($B$6*$B$25)</f>
        <v>1.2666666666666649E-3</v>
      </c>
      <c r="P3" s="12"/>
      <c r="Q3" s="10"/>
      <c r="V3" s="12"/>
      <c r="W3" s="10"/>
      <c r="AB3" s="12"/>
      <c r="AC3" s="10"/>
    </row>
    <row r="4" spans="1:31" ht="15.75" thickBot="1" x14ac:dyDescent="0.3">
      <c r="A4" s="1" t="s">
        <v>4</v>
      </c>
      <c r="B4" s="4">
        <v>12000000</v>
      </c>
      <c r="C4" s="29" t="s">
        <v>13</v>
      </c>
      <c r="E4" s="1" t="s">
        <v>17</v>
      </c>
      <c r="F4" s="10">
        <f>2*(SQRT(F3/PI()))</f>
        <v>6.9557963383020435E-2</v>
      </c>
      <c r="G4" s="10">
        <f>2*(SQRT(G3/PI()))</f>
        <v>6.3497442664997752E-2</v>
      </c>
      <c r="H4" s="10">
        <f>2*(SQRT(H3/PI()))</f>
        <v>5.6793839278532147E-2</v>
      </c>
      <c r="I4" s="10">
        <f>2*(SQRT(I3/PI()))</f>
        <v>4.0159308883468976E-2</v>
      </c>
      <c r="P4" s="8"/>
      <c r="Q4" s="10"/>
      <c r="V4" s="8"/>
      <c r="W4" s="10"/>
      <c r="AB4" s="8"/>
      <c r="AC4" s="10"/>
    </row>
    <row r="5" spans="1:31" ht="15.75" thickBot="1" x14ac:dyDescent="0.3">
      <c r="A5" s="1" t="s">
        <v>2</v>
      </c>
      <c r="B5" s="4">
        <v>15000000</v>
      </c>
      <c r="C5" s="29" t="s">
        <v>13</v>
      </c>
      <c r="E5" s="1" t="s">
        <v>17</v>
      </c>
      <c r="F5" s="58">
        <f>INDEX('Standard Cables'!$B$2:$C$69,MATCH(F4,'Standard Cables'!$C$2:$C$69,-1),1)</f>
        <v>7.8125E-2</v>
      </c>
      <c r="G5" s="58">
        <f>INDEX('Standard Cables'!$B$2:$C$69,MATCH(G4,'Standard Cables'!$C$2:$C$69,-1),1)</f>
        <v>7.8125E-2</v>
      </c>
      <c r="H5" s="58">
        <f>INDEX('Standard Cables'!$B$2:$C$69,MATCH(H4,'Standard Cables'!$C$2:$C$69,-1),1)</f>
        <v>6.25E-2</v>
      </c>
      <c r="I5" s="58">
        <f>INDEX('Standard Cables'!$B$2:$C$69,MATCH(I4,'Standard Cables'!$C$2:$C$69,-1),1)</f>
        <v>4.6875E-2</v>
      </c>
      <c r="P5" s="8"/>
      <c r="Q5" s="10"/>
      <c r="V5" s="8"/>
      <c r="W5" s="10"/>
      <c r="AB5" s="8"/>
      <c r="AC5" s="10"/>
    </row>
    <row r="6" spans="1:31" x14ac:dyDescent="0.25">
      <c r="A6" s="1" t="s">
        <v>3</v>
      </c>
      <c r="B6" s="4">
        <v>30000000</v>
      </c>
      <c r="C6" s="29" t="s">
        <v>13</v>
      </c>
      <c r="P6" s="8"/>
      <c r="Q6" s="10"/>
      <c r="V6" s="8"/>
      <c r="W6" s="10"/>
      <c r="AB6" s="8"/>
      <c r="AC6" s="10"/>
    </row>
    <row r="7" spans="1:31" x14ac:dyDescent="0.25">
      <c r="A7" s="1" t="s">
        <v>248</v>
      </c>
      <c r="B7" s="5">
        <v>5</v>
      </c>
      <c r="C7" s="29" t="s">
        <v>16</v>
      </c>
      <c r="F7" s="62" t="s">
        <v>327</v>
      </c>
      <c r="G7" s="62"/>
      <c r="H7" s="62"/>
      <c r="I7" s="62"/>
      <c r="P7" s="12"/>
      <c r="Q7" s="10"/>
      <c r="V7" s="12"/>
      <c r="W7" s="10"/>
      <c r="AB7" s="12"/>
      <c r="AC7" s="10"/>
    </row>
    <row r="8" spans="1:31" ht="15.75" thickBot="1" x14ac:dyDescent="0.3">
      <c r="A8" s="1" t="s">
        <v>248</v>
      </c>
      <c r="B8" s="5">
        <f>B7*2000</f>
        <v>10000</v>
      </c>
      <c r="C8" s="29" t="s">
        <v>0</v>
      </c>
      <c r="F8" s="43" t="s">
        <v>23</v>
      </c>
      <c r="G8" s="43" t="s">
        <v>19</v>
      </c>
      <c r="H8" s="43" t="s">
        <v>21</v>
      </c>
      <c r="I8" s="43" t="s">
        <v>20</v>
      </c>
      <c r="P8" s="8"/>
      <c r="Q8" s="10"/>
      <c r="V8" s="8"/>
      <c r="W8" s="10"/>
      <c r="AB8" s="8"/>
      <c r="AC8" s="10"/>
    </row>
    <row r="9" spans="1:31" ht="15.75" thickBot="1" x14ac:dyDescent="0.3">
      <c r="A9" s="1" t="s">
        <v>244</v>
      </c>
      <c r="B9" s="59" t="str">
        <f>'Mission Selection'!C4</f>
        <v>Mars</v>
      </c>
      <c r="E9" s="1" t="s">
        <v>24</v>
      </c>
      <c r="F9" s="7">
        <f>$B$12/($B$3*$B$25)</f>
        <v>1.5938697934170596E-3</v>
      </c>
      <c r="G9" s="7">
        <f>$B$12/($B$4*$B$25)</f>
        <v>1.3282248278475497E-3</v>
      </c>
      <c r="H9" s="7">
        <f>$B$12/($B$5*$B$25)</f>
        <v>1.0625798622780397E-3</v>
      </c>
      <c r="I9" s="7">
        <f>$B$12/($B$6*$B$25)</f>
        <v>5.3128993113901984E-4</v>
      </c>
      <c r="P9" s="8"/>
      <c r="Q9" s="10"/>
      <c r="V9" s="8"/>
      <c r="W9" s="10"/>
      <c r="AB9" s="8"/>
      <c r="AC9" s="10"/>
    </row>
    <row r="10" spans="1:31" ht="15.75" thickBot="1" x14ac:dyDescent="0.3">
      <c r="A10" s="1" t="s">
        <v>247</v>
      </c>
      <c r="B10" s="53">
        <f>B8*'Mission Selection'!D4</f>
        <v>3800</v>
      </c>
      <c r="C10" s="29" t="s">
        <v>0</v>
      </c>
      <c r="E10" s="1" t="s">
        <v>17</v>
      </c>
      <c r="F10" s="10">
        <f>2*(SQRT(F9/PI()))</f>
        <v>4.5048618737287216E-2</v>
      </c>
      <c r="G10" s="10">
        <f>2*(SQRT(G9/PI()))</f>
        <v>4.1123574444770168E-2</v>
      </c>
      <c r="H10" s="10">
        <f>2*(SQRT(H9/PI()))</f>
        <v>3.6782043174511704E-2</v>
      </c>
      <c r="I10" s="10">
        <f>2*(SQRT(I9/PI()))</f>
        <v>2.6008832154593594E-2</v>
      </c>
      <c r="P10" s="8"/>
      <c r="Q10" s="10"/>
      <c r="V10" s="8"/>
      <c r="W10" s="10"/>
      <c r="AB10" s="8"/>
      <c r="AC10" s="10"/>
    </row>
    <row r="11" spans="1:31" ht="15.75" thickBot="1" x14ac:dyDescent="0.3">
      <c r="E11" s="1" t="s">
        <v>17</v>
      </c>
      <c r="F11" s="58">
        <f>INDEX('Standard Cables'!$B$2:$C$69,MATCH(F10,'Standard Cables'!$C$2:$C$69,-1),1)</f>
        <v>4.6875E-2</v>
      </c>
      <c r="G11" s="58">
        <f>INDEX('Standard Cables'!$B$2:$C$69,MATCH(G10,'Standard Cables'!$C$2:$C$69,-1),1)</f>
        <v>4.6875E-2</v>
      </c>
      <c r="H11" s="58">
        <f>INDEX('Standard Cables'!$B$2:$C$69,MATCH(H10,'Standard Cables'!$C$2:$C$69,-1),1)</f>
        <v>4.6875E-2</v>
      </c>
      <c r="I11" s="58">
        <f>INDEX('Standard Cables'!$B$2:$C$69,MATCH(I10,'Standard Cables'!$C$2:$C$69,-1),1)</f>
        <v>3.125E-2</v>
      </c>
      <c r="P11" s="8"/>
      <c r="Q11" s="10"/>
      <c r="V11" s="8"/>
      <c r="W11" s="10"/>
      <c r="AB11" s="8"/>
      <c r="AC11" s="10"/>
    </row>
    <row r="12" spans="1:31" x14ac:dyDescent="0.25">
      <c r="A12" s="1" t="s">
        <v>324</v>
      </c>
      <c r="B12" s="5">
        <f>'Truck on Planet'!U7</f>
        <v>1593.8697934170618</v>
      </c>
      <c r="C12" s="29" t="s">
        <v>0</v>
      </c>
      <c r="P12" s="9"/>
      <c r="Q12" s="10"/>
      <c r="V12" s="9"/>
      <c r="W12" s="10"/>
      <c r="AB12" s="9"/>
      <c r="AC12" s="10"/>
    </row>
    <row r="13" spans="1:31" x14ac:dyDescent="0.25">
      <c r="A13" s="1" t="s">
        <v>330</v>
      </c>
      <c r="B13" s="3">
        <f>'Truck on Planet'!U8</f>
        <v>223.14177107838864</v>
      </c>
      <c r="C13" s="29" t="s">
        <v>44</v>
      </c>
      <c r="P13" s="8"/>
      <c r="Q13" s="10"/>
      <c r="V13" s="8"/>
      <c r="W13" s="10"/>
      <c r="AB13" s="8"/>
      <c r="AC13" s="10"/>
    </row>
    <row r="14" spans="1:31" x14ac:dyDescent="0.25">
      <c r="A14" s="1" t="s">
        <v>331</v>
      </c>
      <c r="B14" s="43">
        <v>4</v>
      </c>
      <c r="P14" s="9"/>
      <c r="Q14" s="10"/>
      <c r="V14" s="9"/>
      <c r="W14" s="10"/>
      <c r="AB14" s="9"/>
      <c r="AC14" s="10"/>
    </row>
    <row r="15" spans="1:31" x14ac:dyDescent="0.25">
      <c r="A15" s="29"/>
      <c r="P15" s="9"/>
      <c r="Q15" s="10"/>
      <c r="V15" s="9"/>
      <c r="W15" s="10"/>
      <c r="AB15" s="9"/>
      <c r="AC15" s="10"/>
    </row>
    <row r="16" spans="1:31" x14ac:dyDescent="0.25">
      <c r="A16" s="1" t="s">
        <v>5</v>
      </c>
      <c r="B16" s="5">
        <v>25</v>
      </c>
      <c r="C16" s="29" t="s">
        <v>6</v>
      </c>
      <c r="P16" s="9"/>
      <c r="Q16" s="10"/>
      <c r="V16" s="9"/>
      <c r="W16" s="10"/>
      <c r="AB16" s="9"/>
      <c r="AC16" s="10"/>
    </row>
    <row r="17" spans="1:17" x14ac:dyDescent="0.25">
      <c r="A17" s="1" t="s">
        <v>18</v>
      </c>
      <c r="B17" s="6">
        <v>0.1</v>
      </c>
      <c r="P17" s="12"/>
      <c r="Q17" s="12"/>
    </row>
    <row r="18" spans="1:17" x14ac:dyDescent="0.25">
      <c r="A18" s="1" t="s">
        <v>12</v>
      </c>
      <c r="B18" s="12">
        <f>B16*(1+B17)</f>
        <v>27.500000000000004</v>
      </c>
      <c r="C18" s="29" t="s">
        <v>6</v>
      </c>
    </row>
    <row r="19" spans="1:17" x14ac:dyDescent="0.25">
      <c r="A19" s="1" t="s">
        <v>7</v>
      </c>
      <c r="F19" s="1"/>
    </row>
    <row r="20" spans="1:17" x14ac:dyDescent="0.25">
      <c r="A20" s="1" t="s">
        <v>8</v>
      </c>
      <c r="F20" s="62" t="s">
        <v>332</v>
      </c>
      <c r="G20" s="61"/>
      <c r="H20" s="62" t="s">
        <v>333</v>
      </c>
      <c r="I20" s="62"/>
    </row>
    <row r="21" spans="1:17" ht="17.25" x14ac:dyDescent="0.25">
      <c r="A21" s="1" t="s">
        <v>9</v>
      </c>
      <c r="F21" s="43" t="s">
        <v>300</v>
      </c>
      <c r="G21" s="43" t="s">
        <v>328</v>
      </c>
      <c r="H21" s="43" t="s">
        <v>300</v>
      </c>
      <c r="I21" s="43" t="s">
        <v>328</v>
      </c>
    </row>
    <row r="22" spans="1:17" x14ac:dyDescent="0.25">
      <c r="A22" s="1" t="s">
        <v>10</v>
      </c>
      <c r="E22" s="1" t="str">
        <f>F2</f>
        <v>Aluminum</v>
      </c>
      <c r="F22" s="9">
        <f>F5</f>
        <v>7.8125E-2</v>
      </c>
      <c r="G22" s="3">
        <f>(PI()*(F22/2)^2)*($B$16*12)</f>
        <v>1.4381069886427886</v>
      </c>
      <c r="H22" s="9">
        <f>F11</f>
        <v>4.6875E-2</v>
      </c>
      <c r="I22" s="3">
        <f>(PI()*(H22/2)^2)*($B$13*$B$14)</f>
        <v>1.5403283541406079</v>
      </c>
    </row>
    <row r="23" spans="1:17" x14ac:dyDescent="0.25">
      <c r="E23" s="1" t="str">
        <f>G2</f>
        <v xml:space="preserve">Titanium </v>
      </c>
      <c r="F23" s="9">
        <f>G5</f>
        <v>7.8125E-2</v>
      </c>
      <c r="G23" s="3">
        <f>(PI()*(F23/2)^2)*($B$16*12)</f>
        <v>1.4381069886427886</v>
      </c>
      <c r="H23" s="9">
        <f>G11</f>
        <v>4.6875E-2</v>
      </c>
      <c r="I23" s="3">
        <f>(PI()*(H23/2)^2)*($B$13*$B$14)</f>
        <v>1.5403283541406079</v>
      </c>
    </row>
    <row r="24" spans="1:17" x14ac:dyDescent="0.25">
      <c r="A24" s="1" t="s">
        <v>11</v>
      </c>
      <c r="B24" s="6">
        <f>B17</f>
        <v>0.1</v>
      </c>
      <c r="E24" s="1" t="str">
        <f>H2</f>
        <v>Copper</v>
      </c>
      <c r="F24" s="9">
        <f>H5</f>
        <v>6.25E-2</v>
      </c>
      <c r="G24" s="3">
        <f>(PI()*(F24/2)^2)*($B$16*12)</f>
        <v>0.92038847273138469</v>
      </c>
      <c r="H24" s="9">
        <f>H11</f>
        <v>4.6875E-2</v>
      </c>
      <c r="I24" s="3">
        <f>(PI()*(H24/2)^2)*($B$13*$B$14)</f>
        <v>1.5403283541406079</v>
      </c>
    </row>
    <row r="25" spans="1:17" x14ac:dyDescent="0.25">
      <c r="A25" s="1" t="s">
        <v>22</v>
      </c>
      <c r="B25" s="3">
        <f>(B18-B16)/B16</f>
        <v>0.10000000000000014</v>
      </c>
      <c r="E25" s="1" t="str">
        <f>I2</f>
        <v>Steel</v>
      </c>
      <c r="F25" s="9">
        <f>I5</f>
        <v>4.6875E-2</v>
      </c>
      <c r="G25" s="3">
        <f>(PI()*(F25/2)^2)*($B$16*12)</f>
        <v>0.51771851591140394</v>
      </c>
      <c r="H25" s="9">
        <f>I11</f>
        <v>3.125E-2</v>
      </c>
      <c r="I25" s="3">
        <f>(PI()*(H25/2)^2)*($B$13*$B$14)</f>
        <v>0.68459037961804803</v>
      </c>
    </row>
  </sheetData>
  <mergeCells count="7">
    <mergeCell ref="W2:Y2"/>
    <mergeCell ref="AC2:AE2"/>
    <mergeCell ref="F1:I1"/>
    <mergeCell ref="F7:I7"/>
    <mergeCell ref="F20:G20"/>
    <mergeCell ref="H20:I20"/>
    <mergeCell ref="Q2:S2"/>
  </mergeCells>
  <pageMargins left="0.7" right="0.7" top="0.75" bottom="0.75" header="0.3" footer="0.3"/>
  <drawing r:id="rId1"/>
  <legacyDrawing r:id="rId2"/>
  <oleObjects>
    <mc:AlternateContent xmlns:mc="http://schemas.openxmlformats.org/markup-compatibility/2006">
      <mc:Choice Requires="x14">
        <oleObject shapeId="31745" r:id="rId3">
          <objectPr defaultSize="0" r:id="rId4">
            <anchor moveWithCells="1">
              <from>
                <xdr:col>12</xdr:col>
                <xdr:colOff>19050</xdr:colOff>
                <xdr:row>2</xdr:row>
                <xdr:rowOff>9525</xdr:rowOff>
              </from>
              <to>
                <xdr:col>22</xdr:col>
                <xdr:colOff>19050</xdr:colOff>
                <xdr:row>22</xdr:row>
                <xdr:rowOff>142875</xdr:rowOff>
              </to>
            </anchor>
          </objectPr>
        </oleObject>
      </mc:Choice>
      <mc:Fallback>
        <oleObject shapeId="31745" r:id="rId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sheetPr>
  <dimension ref="A1:AC18"/>
  <sheetViews>
    <sheetView workbookViewId="0">
      <selection activeCell="Q34" sqref="Q34"/>
    </sheetView>
  </sheetViews>
  <sheetFormatPr defaultColWidth="9.140625" defaultRowHeight="15" x14ac:dyDescent="0.25"/>
  <cols>
    <col min="1" max="1" width="21" style="1" bestFit="1" customWidth="1"/>
    <col min="2" max="2" width="7.5703125" style="37" bestFit="1" customWidth="1"/>
    <col min="3" max="3" width="2.7109375" style="29" bestFit="1" customWidth="1"/>
    <col min="4" max="4" width="3" style="29" bestFit="1" customWidth="1"/>
    <col min="5" max="5" width="3.85546875" style="29" bestFit="1" customWidth="1"/>
    <col min="6" max="6" width="5.5703125" style="29" bestFit="1" customWidth="1"/>
    <col min="7" max="7" width="2.42578125" style="29" bestFit="1" customWidth="1"/>
    <col min="8" max="8" width="2.7109375" style="29" customWidth="1"/>
    <col min="9" max="9" width="4.28515625" style="29" bestFit="1" customWidth="1"/>
    <col min="10" max="10" width="4.7109375" style="29" bestFit="1" customWidth="1"/>
    <col min="11" max="11" width="1.5703125" style="29" bestFit="1" customWidth="1"/>
    <col min="12" max="12" width="5.7109375" style="29" bestFit="1" customWidth="1"/>
    <col min="13" max="13" width="1.5703125" style="29" bestFit="1" customWidth="1"/>
    <col min="14" max="14" width="4.7109375" style="29" bestFit="1" customWidth="1"/>
    <col min="15" max="15" width="2" style="29" bestFit="1" customWidth="1"/>
    <col min="16" max="16" width="2.7109375" style="29" customWidth="1"/>
    <col min="17" max="17" width="4.85546875" style="29" bestFit="1" customWidth="1"/>
    <col min="18" max="18" width="5.5703125" style="29" bestFit="1" customWidth="1"/>
    <col min="19" max="19" width="2.7109375" style="29" customWidth="1"/>
    <col min="20" max="20" width="8.140625" style="29" bestFit="1" customWidth="1"/>
    <col min="21" max="21" width="6.5703125" style="29" bestFit="1" customWidth="1"/>
    <col min="22" max="22" width="2.7109375" style="37" bestFit="1" customWidth="1"/>
    <col min="23" max="23" width="6.28515625" style="29" bestFit="1" customWidth="1"/>
    <col min="24" max="24" width="2.7109375" style="29" bestFit="1" customWidth="1"/>
    <col min="25" max="25" width="6.28515625" style="29" bestFit="1" customWidth="1"/>
    <col min="26" max="26" width="2.85546875" style="29" bestFit="1" customWidth="1"/>
    <col min="27" max="27" width="6.28515625" style="29" bestFit="1" customWidth="1"/>
    <col min="28" max="28" width="2.7109375" style="29" bestFit="1" customWidth="1"/>
    <col min="29" max="29" width="6.5703125" style="29" bestFit="1" customWidth="1"/>
    <col min="30" max="16384" width="9.140625" style="29"/>
  </cols>
  <sheetData>
    <row r="1" spans="1:29" ht="18.75" thickBot="1" x14ac:dyDescent="0.4">
      <c r="A1" s="1" t="s">
        <v>263</v>
      </c>
      <c r="B1" s="37">
        <v>310.60000000000002</v>
      </c>
      <c r="C1" s="29" t="s">
        <v>44</v>
      </c>
      <c r="E1" s="1" t="s">
        <v>264</v>
      </c>
      <c r="F1" s="3">
        <f>DEGREES(ATAN(B11/B10))</f>
        <v>17.373100973000447</v>
      </c>
      <c r="G1" s="38" t="s">
        <v>265</v>
      </c>
      <c r="I1" s="1" t="s">
        <v>266</v>
      </c>
      <c r="J1" s="29">
        <f>B10</f>
        <v>171</v>
      </c>
      <c r="K1" s="39" t="s">
        <v>267</v>
      </c>
      <c r="L1" s="29">
        <f>B11</f>
        <v>53.5</v>
      </c>
      <c r="M1" s="39" t="s">
        <v>268</v>
      </c>
      <c r="N1" s="29">
        <f>-B12</f>
        <v>-133</v>
      </c>
      <c r="O1" s="39" t="s">
        <v>269</v>
      </c>
      <c r="Q1" s="29" t="s">
        <v>270</v>
      </c>
      <c r="R1" s="40">
        <f>SQRT(J1^2+L1^2+N1^2)</f>
        <v>223.14177107838864</v>
      </c>
      <c r="T1" s="1" t="s">
        <v>271</v>
      </c>
      <c r="U1" s="55">
        <f>'Planet Design'!B10</f>
        <v>3800</v>
      </c>
      <c r="V1" s="37" t="s">
        <v>272</v>
      </c>
    </row>
    <row r="2" spans="1:29" ht="18" x14ac:dyDescent="0.35">
      <c r="A2" s="1" t="s">
        <v>273</v>
      </c>
      <c r="B2" s="37">
        <v>97.2</v>
      </c>
      <c r="C2" s="29" t="s">
        <v>44</v>
      </c>
      <c r="E2" s="1" t="s">
        <v>274</v>
      </c>
      <c r="F2" s="3">
        <f>DEGREES(ATAN(B12/B10))</f>
        <v>37.874983651098205</v>
      </c>
      <c r="G2" s="38" t="s">
        <v>265</v>
      </c>
      <c r="I2" s="1" t="s">
        <v>275</v>
      </c>
      <c r="J2" s="29">
        <f>-B10</f>
        <v>-171</v>
      </c>
      <c r="K2" s="39" t="s">
        <v>267</v>
      </c>
      <c r="L2" s="29">
        <f>B11</f>
        <v>53.5</v>
      </c>
      <c r="M2" s="39" t="s">
        <v>268</v>
      </c>
      <c r="N2" s="29">
        <f>-B12</f>
        <v>-133</v>
      </c>
      <c r="O2" s="39" t="s">
        <v>269</v>
      </c>
      <c r="Q2" s="29" t="s">
        <v>276</v>
      </c>
      <c r="R2" s="40">
        <f>SQRT(J2^2+L2^2+N2^2)</f>
        <v>223.14177107838864</v>
      </c>
      <c r="T2" s="1" t="s">
        <v>277</v>
      </c>
      <c r="U2" s="26">
        <f>J1/R1</f>
        <v>0.76632895389150835</v>
      </c>
      <c r="V2" s="37" t="s">
        <v>278</v>
      </c>
      <c r="W2" s="26">
        <f>J2/R2</f>
        <v>-0.76632895389150835</v>
      </c>
      <c r="X2" s="1" t="s">
        <v>279</v>
      </c>
      <c r="Y2" s="26">
        <f>J3/R3</f>
        <v>-0.76632895389150835</v>
      </c>
      <c r="Z2" s="1" t="s">
        <v>280</v>
      </c>
      <c r="AA2" s="26">
        <f>J4/R4</f>
        <v>0.76632895389150835</v>
      </c>
      <c r="AB2" s="1" t="s">
        <v>281</v>
      </c>
    </row>
    <row r="3" spans="1:29" ht="18" x14ac:dyDescent="0.35">
      <c r="A3" s="1" t="s">
        <v>282</v>
      </c>
      <c r="B3" s="37">
        <v>120.9</v>
      </c>
      <c r="C3" s="29" t="s">
        <v>44</v>
      </c>
      <c r="I3" s="1" t="s">
        <v>283</v>
      </c>
      <c r="J3" s="29">
        <f>-B10</f>
        <v>-171</v>
      </c>
      <c r="K3" s="39" t="s">
        <v>267</v>
      </c>
      <c r="L3" s="29">
        <f>-B11</f>
        <v>-53.5</v>
      </c>
      <c r="M3" s="39" t="s">
        <v>268</v>
      </c>
      <c r="N3" s="29">
        <f>-B12</f>
        <v>-133</v>
      </c>
      <c r="O3" s="39" t="s">
        <v>269</v>
      </c>
      <c r="Q3" s="29" t="s">
        <v>284</v>
      </c>
      <c r="R3" s="40">
        <f>SQRT(J3^2+L3^2+N3^2)</f>
        <v>223.14177107838864</v>
      </c>
      <c r="T3" s="1" t="s">
        <v>285</v>
      </c>
      <c r="U3" s="26">
        <f>L1/R1</f>
        <v>0.23975788908301576</v>
      </c>
      <c r="V3" s="37" t="s">
        <v>278</v>
      </c>
      <c r="W3" s="26">
        <f>L2/R2</f>
        <v>0.23975788908301576</v>
      </c>
      <c r="X3" s="1" t="s">
        <v>279</v>
      </c>
      <c r="Y3" s="26">
        <f>L3/R3</f>
        <v>-0.23975788908301576</v>
      </c>
      <c r="Z3" s="1" t="s">
        <v>280</v>
      </c>
      <c r="AA3" s="26">
        <f>L4/R4</f>
        <v>-0.23975788908301576</v>
      </c>
      <c r="AB3" s="1" t="s">
        <v>281</v>
      </c>
    </row>
    <row r="4" spans="1:29" ht="18" x14ac:dyDescent="0.35">
      <c r="I4" s="1" t="s">
        <v>286</v>
      </c>
      <c r="J4" s="29">
        <f>B10</f>
        <v>171</v>
      </c>
      <c r="K4" s="39" t="s">
        <v>267</v>
      </c>
      <c r="L4" s="29">
        <f>-B11</f>
        <v>-53.5</v>
      </c>
      <c r="M4" s="39" t="s">
        <v>268</v>
      </c>
      <c r="N4" s="29">
        <f>-B12</f>
        <v>-133</v>
      </c>
      <c r="O4" s="39" t="s">
        <v>269</v>
      </c>
      <c r="Q4" s="29" t="s">
        <v>287</v>
      </c>
      <c r="R4" s="40">
        <f>SQRT(J4^2+L4^2+N4^2)</f>
        <v>223.14177107838864</v>
      </c>
      <c r="T4" s="1" t="s">
        <v>288</v>
      </c>
      <c r="U4" s="26">
        <f>N1/R1</f>
        <v>-0.59603363080450644</v>
      </c>
      <c r="V4" s="37" t="s">
        <v>278</v>
      </c>
      <c r="W4" s="26">
        <f>N2/R2</f>
        <v>-0.59603363080450644</v>
      </c>
      <c r="X4" s="1" t="s">
        <v>279</v>
      </c>
      <c r="Y4" s="26">
        <f>N3/R3</f>
        <v>-0.59603363080450644</v>
      </c>
      <c r="Z4" s="1" t="s">
        <v>280</v>
      </c>
      <c r="AA4" s="26">
        <f>N4/R4</f>
        <v>-0.59603363080450644</v>
      </c>
      <c r="AB4" s="1" t="s">
        <v>281</v>
      </c>
      <c r="AC4" s="4">
        <f>U1</f>
        <v>3800</v>
      </c>
    </row>
    <row r="5" spans="1:29" x14ac:dyDescent="0.25">
      <c r="A5" s="1" t="s">
        <v>289</v>
      </c>
      <c r="B5" s="6">
        <v>0.1</v>
      </c>
      <c r="I5" s="1"/>
    </row>
    <row r="6" spans="1:29" ht="18" x14ac:dyDescent="0.35">
      <c r="A6" s="1" t="s">
        <v>290</v>
      </c>
      <c r="B6" s="37">
        <f>ROUNDUP(B1*(1+B5),0)</f>
        <v>342</v>
      </c>
      <c r="C6" s="29" t="s">
        <v>44</v>
      </c>
      <c r="I6" s="1"/>
      <c r="T6" s="1" t="s">
        <v>291</v>
      </c>
      <c r="U6" s="26">
        <f>ABS(SUM(U4,W4,Y4,AA4))</f>
        <v>2.3841345232180258</v>
      </c>
      <c r="V6" s="37" t="s">
        <v>226</v>
      </c>
    </row>
    <row r="7" spans="1:29" ht="18" x14ac:dyDescent="0.35">
      <c r="A7" s="1" t="s">
        <v>322</v>
      </c>
      <c r="B7" s="37">
        <f>ROUNDUP(B2*(1+B5),0)</f>
        <v>107</v>
      </c>
      <c r="C7" s="29" t="s">
        <v>44</v>
      </c>
      <c r="I7" s="1"/>
      <c r="T7" s="1" t="s">
        <v>293</v>
      </c>
      <c r="U7" s="4">
        <f>AC4/U6</f>
        <v>1593.8697934170618</v>
      </c>
      <c r="V7" s="37" t="s">
        <v>272</v>
      </c>
    </row>
    <row r="8" spans="1:29" x14ac:dyDescent="0.25">
      <c r="A8" s="1" t="s">
        <v>294</v>
      </c>
      <c r="B8" s="37">
        <f>ROUNDUP(B3*(1+B5),0)</f>
        <v>133</v>
      </c>
      <c r="C8" s="29" t="s">
        <v>44</v>
      </c>
      <c r="I8" s="1"/>
      <c r="T8" s="1" t="s">
        <v>258</v>
      </c>
      <c r="U8" s="40">
        <f>MAX(R1:R4)</f>
        <v>223.14177107838864</v>
      </c>
      <c r="V8" s="43" t="s">
        <v>44</v>
      </c>
      <c r="W8" s="26"/>
      <c r="X8" s="1"/>
      <c r="Y8" s="26"/>
      <c r="Z8" s="1"/>
    </row>
    <row r="9" spans="1:29" x14ac:dyDescent="0.25">
      <c r="I9" s="1"/>
      <c r="T9" s="1"/>
      <c r="U9" s="26"/>
      <c r="W9" s="26"/>
      <c r="X9" s="1"/>
      <c r="Y9" s="26"/>
      <c r="Z9" s="1"/>
    </row>
    <row r="10" spans="1:29" x14ac:dyDescent="0.25">
      <c r="A10" s="1" t="s">
        <v>295</v>
      </c>
      <c r="B10" s="37">
        <f>B6/2</f>
        <v>171</v>
      </c>
      <c r="C10" s="29" t="s">
        <v>44</v>
      </c>
      <c r="I10" s="1"/>
      <c r="T10" s="1"/>
      <c r="W10" s="26"/>
      <c r="X10" s="1"/>
      <c r="Y10" s="26"/>
      <c r="Z10" s="1"/>
    </row>
    <row r="11" spans="1:29" x14ac:dyDescent="0.25">
      <c r="A11" s="1" t="s">
        <v>296</v>
      </c>
      <c r="B11" s="37">
        <f>B7/2</f>
        <v>53.5</v>
      </c>
      <c r="C11" s="29" t="s">
        <v>44</v>
      </c>
      <c r="I11" s="1"/>
    </row>
    <row r="12" spans="1:29" x14ac:dyDescent="0.25">
      <c r="A12" s="1" t="s">
        <v>297</v>
      </c>
      <c r="B12" s="37">
        <f>B8*(1+B13)</f>
        <v>133</v>
      </c>
      <c r="C12" s="29" t="s">
        <v>44</v>
      </c>
      <c r="I12" s="1"/>
      <c r="T12" s="1"/>
    </row>
    <row r="13" spans="1:29" x14ac:dyDescent="0.25">
      <c r="A13" s="1" t="s">
        <v>298</v>
      </c>
      <c r="B13" s="6">
        <v>0</v>
      </c>
      <c r="I13" s="1"/>
    </row>
    <row r="14" spans="1:29" x14ac:dyDescent="0.25">
      <c r="I14" s="1"/>
      <c r="T14" s="1"/>
      <c r="U14" s="26"/>
      <c r="W14" s="26"/>
      <c r="X14" s="1"/>
      <c r="Y14" s="26"/>
      <c r="Z14" s="1"/>
    </row>
    <row r="15" spans="1:29" x14ac:dyDescent="0.25">
      <c r="A15" s="1" t="s">
        <v>299</v>
      </c>
      <c r="B15" s="6">
        <f>1/25</f>
        <v>0.04</v>
      </c>
      <c r="I15" s="1"/>
      <c r="Z15" s="1"/>
      <c r="AA15" s="41"/>
    </row>
    <row r="16" spans="1:29" x14ac:dyDescent="0.25">
      <c r="A16" s="1" t="s">
        <v>290</v>
      </c>
      <c r="B16" s="37">
        <f>B6*$B$15</f>
        <v>13.68</v>
      </c>
    </row>
    <row r="17" spans="1:2" x14ac:dyDescent="0.25">
      <c r="A17" s="1" t="s">
        <v>292</v>
      </c>
      <c r="B17" s="37">
        <f>B7*$B$15</f>
        <v>4.28</v>
      </c>
    </row>
    <row r="18" spans="1:2" x14ac:dyDescent="0.25">
      <c r="A18" s="1" t="s">
        <v>294</v>
      </c>
      <c r="B18" s="37">
        <f>B12*$B$15</f>
        <v>5.32</v>
      </c>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900FF"/>
  </sheetPr>
  <dimension ref="B2:D7"/>
  <sheetViews>
    <sheetView workbookViewId="0">
      <selection activeCell="G32" sqref="G32"/>
    </sheetView>
  </sheetViews>
  <sheetFormatPr defaultRowHeight="15" x14ac:dyDescent="0.25"/>
  <cols>
    <col min="1" max="1" width="2.7109375" customWidth="1"/>
    <col min="2" max="2" width="33.140625" bestFit="1" customWidth="1"/>
    <col min="3" max="3" width="10.140625" bestFit="1" customWidth="1"/>
    <col min="4" max="5" width="10.28515625" bestFit="1" customWidth="1"/>
  </cols>
  <sheetData>
    <row r="2" spans="2:4" x14ac:dyDescent="0.25">
      <c r="B2" s="1" t="s">
        <v>245</v>
      </c>
      <c r="C2" s="5">
        <v>10000</v>
      </c>
      <c r="D2" s="42" t="s">
        <v>246</v>
      </c>
    </row>
    <row r="3" spans="2:4" x14ac:dyDescent="0.25">
      <c r="B3" s="29"/>
      <c r="C3" s="29"/>
      <c r="D3" s="29"/>
    </row>
    <row r="4" spans="2:4" x14ac:dyDescent="0.25">
      <c r="B4" s="1" t="s">
        <v>350</v>
      </c>
      <c r="C4" s="27">
        <f>'Mission Selection'!C35*$C$2</f>
        <v>10508.080769575865</v>
      </c>
      <c r="D4" t="str">
        <f>'Mission Selection'!C6</f>
        <v>Aluminum</v>
      </c>
    </row>
    <row r="5" spans="2:4" x14ac:dyDescent="0.25">
      <c r="B5" s="1" t="s">
        <v>352</v>
      </c>
      <c r="C5" s="27">
        <f>'Mission Selection'!C36*$C$2</f>
        <v>13064.144694193357</v>
      </c>
      <c r="D5" t="str">
        <f>'Mission Selection'!C16</f>
        <v>Steel</v>
      </c>
    </row>
    <row r="6" spans="2:4" x14ac:dyDescent="0.25">
      <c r="B6" s="1" t="s">
        <v>351</v>
      </c>
      <c r="C6" s="27">
        <f>'Mission Selection'!C37*$C$2</f>
        <v>2680.5918085050571</v>
      </c>
      <c r="D6" t="str">
        <f>'Mission Selection'!C6</f>
        <v>Aluminum</v>
      </c>
    </row>
    <row r="7" spans="2:4" x14ac:dyDescent="0.25">
      <c r="B7" s="1" t="s">
        <v>353</v>
      </c>
      <c r="C7" s="27">
        <f>'Mission Selection'!C38*$C$2</f>
        <v>3147.0692244093566</v>
      </c>
      <c r="D7" t="str">
        <f>'Mission Selection'!C16</f>
        <v>Steel</v>
      </c>
    </row>
  </sheetData>
  <pageMargins left="0.7" right="0.7" top="0.75" bottom="0.75" header="0.3" footer="0.3"/>
  <ignoredErrors>
    <ignoredError sqref="D5" 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sheetPr>
  <dimension ref="B1:E172"/>
  <sheetViews>
    <sheetView topLeftCell="A19" workbookViewId="0">
      <selection activeCell="H11" sqref="H11"/>
    </sheetView>
  </sheetViews>
  <sheetFormatPr defaultRowHeight="15" x14ac:dyDescent="0.25"/>
  <cols>
    <col min="1" max="1" width="2.7109375" customWidth="1"/>
    <col min="2" max="2" width="48" bestFit="1" customWidth="1"/>
    <col min="3" max="3" width="11.42578125" bestFit="1" customWidth="1"/>
    <col min="4" max="5" width="5" bestFit="1" customWidth="1"/>
  </cols>
  <sheetData>
    <row r="1" spans="2:5" ht="17.25" x14ac:dyDescent="0.25">
      <c r="B1" s="22" t="s">
        <v>217</v>
      </c>
      <c r="C1" s="19" t="s">
        <v>213</v>
      </c>
      <c r="D1" s="18"/>
      <c r="E1" s="18"/>
    </row>
    <row r="2" spans="2:5" x14ac:dyDescent="0.25">
      <c r="B2" s="18" t="s">
        <v>45</v>
      </c>
      <c r="C2" s="12">
        <v>41</v>
      </c>
    </row>
    <row r="3" spans="2:5" x14ac:dyDescent="0.25">
      <c r="B3" s="18" t="s">
        <v>46</v>
      </c>
      <c r="C3" s="12">
        <v>17</v>
      </c>
    </row>
    <row r="4" spans="2:5" x14ac:dyDescent="0.25">
      <c r="B4" s="18" t="s">
        <v>48</v>
      </c>
      <c r="C4" s="12">
        <v>22</v>
      </c>
    </row>
    <row r="5" spans="2:5" x14ac:dyDescent="0.25">
      <c r="B5" s="18" t="s">
        <v>47</v>
      </c>
      <c r="C5" s="12">
        <v>59.2</v>
      </c>
    </row>
    <row r="6" spans="2:5" x14ac:dyDescent="0.25">
      <c r="B6" s="18" t="s">
        <v>50</v>
      </c>
      <c r="C6" s="12">
        <v>130</v>
      </c>
    </row>
    <row r="7" spans="2:5" x14ac:dyDescent="0.25">
      <c r="B7" s="18" t="s">
        <v>49</v>
      </c>
      <c r="C7" s="12">
        <v>45</v>
      </c>
    </row>
    <row r="8" spans="2:5" x14ac:dyDescent="0.25">
      <c r="B8" s="18" t="s">
        <v>51</v>
      </c>
      <c r="C8" s="12">
        <v>3</v>
      </c>
    </row>
    <row r="9" spans="2:5" x14ac:dyDescent="0.25">
      <c r="B9" s="18" t="s">
        <v>23</v>
      </c>
      <c r="C9" s="12">
        <v>12.3</v>
      </c>
    </row>
    <row r="10" spans="2:5" x14ac:dyDescent="0.25">
      <c r="B10" s="18" t="s">
        <v>52</v>
      </c>
      <c r="C10" s="12">
        <v>5.8</v>
      </c>
    </row>
    <row r="11" spans="2:5" x14ac:dyDescent="0.25">
      <c r="B11" s="18" t="s">
        <v>53</v>
      </c>
      <c r="C11" s="12">
        <v>2.6</v>
      </c>
    </row>
    <row r="12" spans="2:5" x14ac:dyDescent="0.25">
      <c r="B12" s="18" t="s">
        <v>54</v>
      </c>
      <c r="C12" s="12">
        <v>11.4</v>
      </c>
    </row>
    <row r="13" spans="2:5" x14ac:dyDescent="0.25">
      <c r="B13" s="18" t="s">
        <v>55</v>
      </c>
      <c r="C13" s="12">
        <v>5.6</v>
      </c>
    </row>
    <row r="14" spans="2:5" x14ac:dyDescent="0.25">
      <c r="B14" s="18" t="s">
        <v>56</v>
      </c>
      <c r="C14" s="12">
        <v>23.3</v>
      </c>
    </row>
    <row r="15" spans="2:5" x14ac:dyDescent="0.25">
      <c r="B15" s="18" t="s">
        <v>57</v>
      </c>
      <c r="C15" s="12">
        <v>6.4</v>
      </c>
    </row>
    <row r="16" spans="2:5" x14ac:dyDescent="0.25">
      <c r="B16" s="18" t="s">
        <v>58</v>
      </c>
      <c r="C16" s="12">
        <v>7.3</v>
      </c>
    </row>
    <row r="17" spans="2:5" x14ac:dyDescent="0.25">
      <c r="B17" s="18" t="s">
        <v>59</v>
      </c>
      <c r="C17" s="12">
        <v>10.4</v>
      </c>
    </row>
    <row r="18" spans="2:5" x14ac:dyDescent="0.25">
      <c r="B18" s="18" t="s">
        <v>60</v>
      </c>
      <c r="C18" s="12">
        <v>3.1</v>
      </c>
    </row>
    <row r="19" spans="2:5" x14ac:dyDescent="0.25">
      <c r="B19" s="18" t="s">
        <v>61</v>
      </c>
      <c r="C19" s="12">
        <v>10</v>
      </c>
    </row>
    <row r="20" spans="2:5" x14ac:dyDescent="0.25">
      <c r="B20" s="18" t="s">
        <v>62</v>
      </c>
      <c r="C20" s="12">
        <v>16.8</v>
      </c>
    </row>
    <row r="21" spans="2:5" x14ac:dyDescent="0.25">
      <c r="B21" s="18" t="s">
        <v>63</v>
      </c>
      <c r="C21" s="12">
        <v>12.4</v>
      </c>
    </row>
    <row r="22" spans="2:5" x14ac:dyDescent="0.25">
      <c r="B22" s="18" t="s">
        <v>64</v>
      </c>
      <c r="C22" s="12">
        <v>6</v>
      </c>
    </row>
    <row r="23" spans="2:5" x14ac:dyDescent="0.25">
      <c r="B23" s="18" t="s">
        <v>65</v>
      </c>
      <c r="C23" s="12">
        <v>72.2</v>
      </c>
    </row>
    <row r="24" spans="2:5" x14ac:dyDescent="0.25">
      <c r="B24" s="18" t="s">
        <v>66</v>
      </c>
      <c r="C24" s="12">
        <f>AVERAGE(D24:E24)</f>
        <v>87.5</v>
      </c>
      <c r="D24" s="18">
        <v>80</v>
      </c>
      <c r="E24" s="18">
        <v>95</v>
      </c>
    </row>
    <row r="25" spans="2:5" x14ac:dyDescent="0.25">
      <c r="B25" s="18" t="s">
        <v>67</v>
      </c>
      <c r="C25" s="12">
        <f>AVERAGE(D25:E25)</f>
        <v>55.5</v>
      </c>
      <c r="D25" s="18">
        <v>44</v>
      </c>
      <c r="E25" s="18">
        <v>67</v>
      </c>
    </row>
    <row r="26" spans="2:5" x14ac:dyDescent="0.25">
      <c r="B26" s="18" t="s">
        <v>68</v>
      </c>
      <c r="C26" s="12">
        <v>6</v>
      </c>
    </row>
    <row r="27" spans="2:5" x14ac:dyDescent="0.25">
      <c r="B27" s="18" t="s">
        <v>69</v>
      </c>
      <c r="C27" s="12">
        <v>2.9</v>
      </c>
    </row>
    <row r="28" spans="2:5" x14ac:dyDescent="0.25">
      <c r="B28" s="18" t="s">
        <v>70</v>
      </c>
      <c r="C28" s="12">
        <v>44</v>
      </c>
    </row>
    <row r="29" spans="2:5" x14ac:dyDescent="0.25">
      <c r="B29" s="18" t="s">
        <v>71</v>
      </c>
      <c r="C29" s="12">
        <v>37</v>
      </c>
    </row>
    <row r="30" spans="2:5" x14ac:dyDescent="0.25">
      <c r="B30" s="18" t="s">
        <v>72</v>
      </c>
      <c r="C30" s="12">
        <v>3.4</v>
      </c>
    </row>
    <row r="31" spans="2:5" x14ac:dyDescent="0.25">
      <c r="B31" s="18" t="s">
        <v>73</v>
      </c>
      <c r="C31" s="12">
        <v>3.3</v>
      </c>
    </row>
    <row r="32" spans="2:5" x14ac:dyDescent="0.25">
      <c r="B32" s="18" t="s">
        <v>74</v>
      </c>
      <c r="C32" s="12">
        <v>6.7</v>
      </c>
    </row>
    <row r="33" spans="2:5" x14ac:dyDescent="0.25">
      <c r="B33" s="18" t="s">
        <v>75</v>
      </c>
      <c r="C33" s="12">
        <v>8</v>
      </c>
    </row>
    <row r="34" spans="2:5" x14ac:dyDescent="0.25">
      <c r="B34" s="18" t="s">
        <v>76</v>
      </c>
      <c r="C34" s="12">
        <v>5.5</v>
      </c>
    </row>
    <row r="35" spans="2:5" x14ac:dyDescent="0.25">
      <c r="B35" s="18" t="s">
        <v>77</v>
      </c>
      <c r="C35" s="12">
        <v>10.4</v>
      </c>
    </row>
    <row r="36" spans="2:5" x14ac:dyDescent="0.25">
      <c r="B36" s="18" t="s">
        <v>21</v>
      </c>
      <c r="C36" s="12">
        <v>9.3000000000000007</v>
      </c>
    </row>
    <row r="37" spans="2:5" x14ac:dyDescent="0.25">
      <c r="B37" s="18" t="s">
        <v>78</v>
      </c>
      <c r="C37" s="12">
        <v>9.9</v>
      </c>
    </row>
    <row r="38" spans="2:5" x14ac:dyDescent="0.25">
      <c r="B38" s="18" t="s">
        <v>79</v>
      </c>
      <c r="C38" s="12">
        <v>3.6</v>
      </c>
    </row>
    <row r="39" spans="2:5" x14ac:dyDescent="0.25">
      <c r="B39" s="18" t="s">
        <v>80</v>
      </c>
      <c r="C39" s="12">
        <v>9</v>
      </c>
    </row>
    <row r="40" spans="2:5" x14ac:dyDescent="0.25">
      <c r="B40" s="18" t="s">
        <v>81</v>
      </c>
      <c r="C40" s="12">
        <v>0.66</v>
      </c>
    </row>
    <row r="41" spans="2:5" x14ac:dyDescent="0.25">
      <c r="B41" s="18" t="s">
        <v>82</v>
      </c>
      <c r="C41" s="12">
        <v>12.8</v>
      </c>
    </row>
    <row r="42" spans="2:5" x14ac:dyDescent="0.25">
      <c r="B42" s="18" t="s">
        <v>83</v>
      </c>
      <c r="C42" s="12">
        <v>5.5</v>
      </c>
    </row>
    <row r="43" spans="2:5" x14ac:dyDescent="0.25">
      <c r="B43" s="18" t="s">
        <v>84</v>
      </c>
      <c r="C43" s="12">
        <v>42.8</v>
      </c>
    </row>
    <row r="44" spans="2:5" x14ac:dyDescent="0.25">
      <c r="B44" s="18" t="s">
        <v>85</v>
      </c>
      <c r="C44" s="12">
        <f>AVERAGE(D44:E44)</f>
        <v>30.5</v>
      </c>
      <c r="D44" s="18">
        <v>25</v>
      </c>
      <c r="E44" s="18">
        <v>36</v>
      </c>
    </row>
    <row r="45" spans="2:5" x14ac:dyDescent="0.25">
      <c r="B45" s="18" t="s">
        <v>86</v>
      </c>
      <c r="C45" s="12">
        <v>6.8</v>
      </c>
    </row>
    <row r="46" spans="2:5" x14ac:dyDescent="0.25">
      <c r="B46" s="18" t="s">
        <v>87</v>
      </c>
      <c r="C46" s="12">
        <v>113.9</v>
      </c>
    </row>
    <row r="47" spans="2:5" x14ac:dyDescent="0.25">
      <c r="B47" s="18" t="s">
        <v>88</v>
      </c>
      <c r="C47" s="12">
        <v>100</v>
      </c>
    </row>
    <row r="48" spans="2:5" x14ac:dyDescent="0.25">
      <c r="B48" s="18" t="s">
        <v>89</v>
      </c>
      <c r="C48" s="12">
        <v>19.399999999999999</v>
      </c>
    </row>
    <row r="49" spans="2:5" x14ac:dyDescent="0.25">
      <c r="B49" s="18" t="s">
        <v>90</v>
      </c>
      <c r="C49" s="12">
        <v>75</v>
      </c>
    </row>
    <row r="50" spans="2:5" x14ac:dyDescent="0.25">
      <c r="B50" s="18" t="s">
        <v>91</v>
      </c>
      <c r="C50" s="12">
        <v>5</v>
      </c>
    </row>
    <row r="51" spans="2:5" x14ac:dyDescent="0.25">
      <c r="B51" s="18" t="s">
        <v>93</v>
      </c>
      <c r="C51" s="12">
        <v>10.199999999999999</v>
      </c>
    </row>
    <row r="52" spans="2:5" x14ac:dyDescent="0.25">
      <c r="B52" s="18" t="s">
        <v>92</v>
      </c>
      <c r="C52" s="12">
        <v>3.4</v>
      </c>
    </row>
    <row r="53" spans="2:5" x14ac:dyDescent="0.25">
      <c r="B53" s="18" t="s">
        <v>94</v>
      </c>
      <c r="C53" s="12">
        <v>3.3</v>
      </c>
    </row>
    <row r="54" spans="2:5" x14ac:dyDescent="0.25">
      <c r="B54" s="18" t="s">
        <v>96</v>
      </c>
      <c r="C54" s="12">
        <v>5</v>
      </c>
    </row>
    <row r="55" spans="2:5" x14ac:dyDescent="0.25">
      <c r="B55" s="18" t="s">
        <v>95</v>
      </c>
      <c r="C55" s="12">
        <v>2.2000000000000002</v>
      </c>
    </row>
    <row r="56" spans="2:5" x14ac:dyDescent="0.25">
      <c r="B56" s="18" t="s">
        <v>97</v>
      </c>
      <c r="C56" s="12">
        <v>8.1999999999999993</v>
      </c>
    </row>
    <row r="57" spans="2:5" x14ac:dyDescent="0.25">
      <c r="B57" s="18" t="s">
        <v>98</v>
      </c>
      <c r="C57" s="12">
        <v>4.4000000000000004</v>
      </c>
    </row>
    <row r="58" spans="2:5" x14ac:dyDescent="0.25">
      <c r="B58" s="18" t="s">
        <v>99</v>
      </c>
      <c r="C58" s="12">
        <f>AVERAGE(D58:E58)</f>
        <v>2.25</v>
      </c>
      <c r="D58" s="18">
        <v>1.1000000000000001</v>
      </c>
      <c r="E58" s="18">
        <v>3.4</v>
      </c>
    </row>
    <row r="59" spans="2:5" x14ac:dyDescent="0.25">
      <c r="B59" s="18" t="s">
        <v>100</v>
      </c>
      <c r="C59" s="12">
        <v>10</v>
      </c>
    </row>
    <row r="60" spans="2:5" x14ac:dyDescent="0.25">
      <c r="B60" s="18" t="s">
        <v>101</v>
      </c>
      <c r="C60" s="12">
        <v>3.3</v>
      </c>
    </row>
    <row r="61" spans="2:5" x14ac:dyDescent="0.25">
      <c r="B61" s="18" t="s">
        <v>102</v>
      </c>
      <c r="C61" s="12">
        <v>3.3</v>
      </c>
    </row>
    <row r="62" spans="2:5" x14ac:dyDescent="0.25">
      <c r="B62" s="18" t="s">
        <v>103</v>
      </c>
      <c r="C62" s="12">
        <v>6.3</v>
      </c>
    </row>
    <row r="63" spans="2:5" x14ac:dyDescent="0.25">
      <c r="B63" s="18" t="s">
        <v>104</v>
      </c>
      <c r="C63" s="12">
        <v>6.2</v>
      </c>
    </row>
    <row r="64" spans="2:5" x14ac:dyDescent="0.25">
      <c r="B64" s="18" t="s">
        <v>105</v>
      </c>
      <c r="C64" s="12">
        <v>28.3</v>
      </c>
    </row>
    <row r="65" spans="2:3" x14ac:dyDescent="0.25">
      <c r="B65" s="18" t="s">
        <v>106</v>
      </c>
      <c r="C65" s="12">
        <v>7</v>
      </c>
    </row>
    <row r="66" spans="2:3" x14ac:dyDescent="0.25">
      <c r="B66" s="18" t="s">
        <v>107</v>
      </c>
      <c r="C66" s="12">
        <v>18.3</v>
      </c>
    </row>
    <row r="67" spans="2:3" x14ac:dyDescent="0.25">
      <c r="B67" s="18" t="s">
        <v>108</v>
      </c>
      <c r="C67" s="12">
        <v>0.8</v>
      </c>
    </row>
    <row r="68" spans="2:3" x14ac:dyDescent="0.25">
      <c r="B68" s="18" t="s">
        <v>109</v>
      </c>
      <c r="C68" s="12">
        <v>3.6</v>
      </c>
    </row>
    <row r="69" spans="2:3" x14ac:dyDescent="0.25">
      <c r="B69" s="18" t="s">
        <v>111</v>
      </c>
      <c r="C69" s="12">
        <v>5.9</v>
      </c>
    </row>
    <row r="70" spans="2:3" x14ac:dyDescent="0.25">
      <c r="B70" s="18" t="s">
        <v>112</v>
      </c>
      <c r="C70" s="12">
        <v>6.3</v>
      </c>
    </row>
    <row r="71" spans="2:3" x14ac:dyDescent="0.25">
      <c r="B71" s="18" t="s">
        <v>110</v>
      </c>
      <c r="C71" s="12">
        <v>6.7</v>
      </c>
    </row>
    <row r="72" spans="2:3" x14ac:dyDescent="0.25">
      <c r="B72" s="18" t="s">
        <v>113</v>
      </c>
      <c r="C72" s="12">
        <v>11.1</v>
      </c>
    </row>
    <row r="73" spans="2:3" x14ac:dyDescent="0.25">
      <c r="B73" s="18" t="s">
        <v>114</v>
      </c>
      <c r="C73" s="12">
        <v>6.7</v>
      </c>
    </row>
    <row r="74" spans="2:3" x14ac:dyDescent="0.25">
      <c r="B74" s="18" t="s">
        <v>115</v>
      </c>
      <c r="C74" s="12">
        <v>15.1</v>
      </c>
    </row>
    <row r="75" spans="2:3" x14ac:dyDescent="0.25">
      <c r="B75" s="18" t="s">
        <v>116</v>
      </c>
      <c r="C75" s="12">
        <v>4.4000000000000004</v>
      </c>
    </row>
    <row r="76" spans="2:3" x14ac:dyDescent="0.25">
      <c r="B76" s="18" t="s">
        <v>117</v>
      </c>
      <c r="C76" s="12">
        <v>25.6</v>
      </c>
    </row>
    <row r="77" spans="2:3" x14ac:dyDescent="0.25">
      <c r="B77" s="18" t="s">
        <v>118</v>
      </c>
      <c r="C77" s="12">
        <v>5.5</v>
      </c>
    </row>
    <row r="78" spans="2:3" x14ac:dyDescent="0.25">
      <c r="B78" s="18" t="s">
        <v>119</v>
      </c>
      <c r="C78" s="12">
        <v>5.2</v>
      </c>
    </row>
    <row r="79" spans="2:3" x14ac:dyDescent="0.25">
      <c r="B79" s="18" t="s">
        <v>120</v>
      </c>
      <c r="C79" s="12">
        <v>14</v>
      </c>
    </row>
    <row r="80" spans="2:3" x14ac:dyDescent="0.25">
      <c r="B80" s="18" t="s">
        <v>121</v>
      </c>
      <c r="C80" s="12">
        <v>12.3</v>
      </c>
    </row>
    <row r="81" spans="2:5" x14ac:dyDescent="0.25">
      <c r="B81" s="18" t="s">
        <v>122</v>
      </c>
      <c r="C81" s="12">
        <f>AVERAGE(D81:E81)</f>
        <v>5.5</v>
      </c>
      <c r="D81" s="18">
        <v>3.1</v>
      </c>
      <c r="E81" s="18">
        <v>7.9</v>
      </c>
    </row>
    <row r="82" spans="2:5" x14ac:dyDescent="0.25">
      <c r="B82" s="18" t="s">
        <v>123</v>
      </c>
      <c r="C82" s="12">
        <f>AVERAGE(D82:E82)</f>
        <v>3.8</v>
      </c>
      <c r="D82" s="18">
        <v>2.6</v>
      </c>
      <c r="E82" s="18">
        <v>5</v>
      </c>
    </row>
    <row r="83" spans="2:5" x14ac:dyDescent="0.25">
      <c r="B83" s="18" t="s">
        <v>124</v>
      </c>
      <c r="C83" s="12">
        <v>33.9</v>
      </c>
    </row>
    <row r="84" spans="2:5" x14ac:dyDescent="0.25">
      <c r="B84" s="18" t="s">
        <v>125</v>
      </c>
      <c r="C84" s="12">
        <v>1.7</v>
      </c>
    </row>
    <row r="85" spans="2:5" x14ac:dyDescent="0.25">
      <c r="B85" s="18" t="s">
        <v>126</v>
      </c>
      <c r="C85" s="12">
        <v>2.8</v>
      </c>
    </row>
    <row r="86" spans="2:5" x14ac:dyDescent="0.25">
      <c r="B86" s="18" t="s">
        <v>127</v>
      </c>
      <c r="C86" s="12">
        <v>7.5</v>
      </c>
    </row>
    <row r="87" spans="2:5" x14ac:dyDescent="0.25">
      <c r="B87" s="18" t="s">
        <v>128</v>
      </c>
      <c r="C87" s="12">
        <f>AVERAGE(D87:E87)</f>
        <v>5.8</v>
      </c>
      <c r="D87" s="18">
        <v>4.0999999999999996</v>
      </c>
      <c r="E87" s="18">
        <v>7.5</v>
      </c>
    </row>
    <row r="88" spans="2:5" x14ac:dyDescent="0.25">
      <c r="B88" s="18" t="s">
        <v>129</v>
      </c>
      <c r="C88" s="12">
        <v>5.3</v>
      </c>
    </row>
    <row r="89" spans="2:5" x14ac:dyDescent="0.25">
      <c r="B89" s="18" t="s">
        <v>130</v>
      </c>
      <c r="C89" s="12">
        <v>7.2</v>
      </c>
    </row>
    <row r="90" spans="2:5" x14ac:dyDescent="0.25">
      <c r="B90" s="18" t="s">
        <v>131</v>
      </c>
      <c r="C90" s="12">
        <v>3.9</v>
      </c>
    </row>
    <row r="91" spans="2:5" x14ac:dyDescent="0.25">
      <c r="B91" s="18" t="s">
        <v>132</v>
      </c>
      <c r="C91" s="12">
        <v>40</v>
      </c>
    </row>
    <row r="92" spans="2:5" x14ac:dyDescent="0.25">
      <c r="B92" s="18" t="s">
        <v>133</v>
      </c>
      <c r="C92" s="12">
        <v>55.6</v>
      </c>
    </row>
    <row r="93" spans="2:5" x14ac:dyDescent="0.25">
      <c r="B93" s="18" t="s">
        <v>134</v>
      </c>
      <c r="C93" s="12">
        <v>44.7</v>
      </c>
    </row>
    <row r="94" spans="2:5" x14ac:dyDescent="0.25">
      <c r="B94" s="18" t="s">
        <v>135</v>
      </c>
      <c r="C94" s="12">
        <v>47.2</v>
      </c>
    </row>
    <row r="95" spans="2:5" x14ac:dyDescent="0.25">
      <c r="B95" s="18" t="s">
        <v>136</v>
      </c>
      <c r="C95" s="12">
        <v>44.4</v>
      </c>
    </row>
    <row r="96" spans="2:5" x14ac:dyDescent="0.25">
      <c r="B96" s="18" t="s">
        <v>137</v>
      </c>
      <c r="C96" s="12">
        <v>30</v>
      </c>
    </row>
    <row r="97" spans="2:5" x14ac:dyDescent="0.25">
      <c r="B97" s="18" t="s">
        <v>138</v>
      </c>
      <c r="C97" s="12">
        <v>2.8</v>
      </c>
    </row>
    <row r="98" spans="2:5" x14ac:dyDescent="0.25">
      <c r="B98" s="18" t="s">
        <v>139</v>
      </c>
      <c r="C98" s="12">
        <v>6.6</v>
      </c>
    </row>
    <row r="99" spans="2:5" x14ac:dyDescent="0.25">
      <c r="B99" s="18" t="s">
        <v>140</v>
      </c>
      <c r="C99" s="12">
        <f>AVERAGE(D99:E99)</f>
        <v>38.700000000000003</v>
      </c>
      <c r="D99" s="18">
        <v>33</v>
      </c>
      <c r="E99" s="18">
        <v>44.4</v>
      </c>
    </row>
    <row r="100" spans="2:5" x14ac:dyDescent="0.25">
      <c r="B100" s="18" t="s">
        <v>141</v>
      </c>
      <c r="C100" s="12">
        <v>9.3000000000000007</v>
      </c>
    </row>
    <row r="101" spans="2:5" x14ac:dyDescent="0.25">
      <c r="B101" s="18" t="s">
        <v>142</v>
      </c>
      <c r="C101" s="12">
        <v>9.1999999999999993</v>
      </c>
    </row>
    <row r="102" spans="2:5" x14ac:dyDescent="0.25">
      <c r="B102" s="18" t="s">
        <v>143</v>
      </c>
      <c r="C102" s="12">
        <f>AVERAGE(D102:E102)</f>
        <v>44.5</v>
      </c>
      <c r="D102" s="18">
        <v>22</v>
      </c>
      <c r="E102" s="18">
        <v>67</v>
      </c>
    </row>
    <row r="103" spans="2:5" x14ac:dyDescent="0.25">
      <c r="B103" s="18" t="s">
        <v>144</v>
      </c>
      <c r="C103" s="12">
        <v>5</v>
      </c>
    </row>
    <row r="104" spans="2:5" x14ac:dyDescent="0.25">
      <c r="B104" s="18" t="s">
        <v>145</v>
      </c>
      <c r="C104" s="12">
        <v>30.2</v>
      </c>
    </row>
    <row r="105" spans="2:5" x14ac:dyDescent="0.25">
      <c r="B105" s="18" t="s">
        <v>146</v>
      </c>
      <c r="C105" s="12">
        <v>38.5</v>
      </c>
    </row>
    <row r="106" spans="2:5" x14ac:dyDescent="0.25">
      <c r="B106" s="18" t="s">
        <v>147</v>
      </c>
      <c r="C106" s="12">
        <v>50.8</v>
      </c>
    </row>
    <row r="107" spans="2:5" x14ac:dyDescent="0.25">
      <c r="B107" s="18" t="s">
        <v>148</v>
      </c>
      <c r="C107" s="12">
        <v>61.1</v>
      </c>
    </row>
    <row r="108" spans="2:5" x14ac:dyDescent="0.25">
      <c r="B108" s="18" t="s">
        <v>149</v>
      </c>
      <c r="C108" s="12">
        <v>72</v>
      </c>
    </row>
    <row r="109" spans="2:5" x14ac:dyDescent="0.25">
      <c r="B109" s="18" t="s">
        <v>151</v>
      </c>
      <c r="C109" s="12">
        <v>12</v>
      </c>
    </row>
    <row r="110" spans="2:5" x14ac:dyDescent="0.25">
      <c r="B110" s="18" t="s">
        <v>150</v>
      </c>
      <c r="C110" s="12">
        <v>39</v>
      </c>
    </row>
    <row r="111" spans="2:5" x14ac:dyDescent="0.25">
      <c r="B111" s="18" t="s">
        <v>152</v>
      </c>
      <c r="C111" s="12">
        <v>69</v>
      </c>
    </row>
    <row r="112" spans="2:5" x14ac:dyDescent="0.25">
      <c r="B112" s="18" t="s">
        <v>153</v>
      </c>
      <c r="C112" s="12">
        <v>14</v>
      </c>
    </row>
    <row r="113" spans="2:5" x14ac:dyDescent="0.25">
      <c r="B113" s="18" t="s">
        <v>154</v>
      </c>
      <c r="C113" s="12">
        <v>111</v>
      </c>
    </row>
    <row r="114" spans="2:5" x14ac:dyDescent="0.25">
      <c r="B114" s="18" t="s">
        <v>155</v>
      </c>
      <c r="C114" s="12">
        <v>60</v>
      </c>
    </row>
    <row r="115" spans="2:5" x14ac:dyDescent="0.25">
      <c r="B115" s="18" t="s">
        <v>156</v>
      </c>
      <c r="C115" s="12">
        <v>33</v>
      </c>
    </row>
    <row r="116" spans="2:5" x14ac:dyDescent="0.25">
      <c r="B116" s="18" t="s">
        <v>157</v>
      </c>
      <c r="C116" s="12">
        <v>20</v>
      </c>
    </row>
    <row r="117" spans="2:5" x14ac:dyDescent="0.25">
      <c r="B117" s="18" t="s">
        <v>159</v>
      </c>
      <c r="C117" s="12">
        <v>18</v>
      </c>
      <c r="D117" s="18"/>
      <c r="E117" s="18"/>
    </row>
    <row r="118" spans="2:5" x14ac:dyDescent="0.25">
      <c r="B118" s="18" t="s">
        <v>158</v>
      </c>
      <c r="C118" s="12">
        <f>AVERAGE(D118:E118)</f>
        <v>84</v>
      </c>
      <c r="D118">
        <v>56</v>
      </c>
      <c r="E118">
        <v>112</v>
      </c>
    </row>
    <row r="119" spans="2:5" x14ac:dyDescent="0.25">
      <c r="B119" s="18" t="s">
        <v>160</v>
      </c>
      <c r="C119" s="12">
        <v>38.9</v>
      </c>
    </row>
    <row r="120" spans="2:5" x14ac:dyDescent="0.25">
      <c r="B120" s="18" t="s">
        <v>161</v>
      </c>
      <c r="C120" s="12">
        <v>31</v>
      </c>
    </row>
    <row r="121" spans="2:5" x14ac:dyDescent="0.25">
      <c r="B121" s="18" t="s">
        <v>162</v>
      </c>
      <c r="C121" s="12">
        <v>32</v>
      </c>
    </row>
    <row r="122" spans="2:5" x14ac:dyDescent="0.25">
      <c r="B122" s="18" t="s">
        <v>163</v>
      </c>
      <c r="C122" s="12">
        <v>28</v>
      </c>
    </row>
    <row r="123" spans="2:5" x14ac:dyDescent="0.25">
      <c r="B123" s="18" t="s">
        <v>164</v>
      </c>
      <c r="C123" s="12">
        <v>71</v>
      </c>
    </row>
    <row r="124" spans="2:5" x14ac:dyDescent="0.25">
      <c r="B124" s="18" t="s">
        <v>165</v>
      </c>
      <c r="C124" s="12">
        <v>3.6</v>
      </c>
    </row>
    <row r="125" spans="2:5" x14ac:dyDescent="0.25">
      <c r="B125" s="18" t="s">
        <v>166</v>
      </c>
      <c r="C125" s="12">
        <v>46.1</v>
      </c>
    </row>
    <row r="126" spans="2:5" x14ac:dyDescent="0.25">
      <c r="B126" s="18" t="s">
        <v>167</v>
      </c>
      <c r="C126" s="12">
        <v>3.7</v>
      </c>
    </row>
    <row r="127" spans="2:5" x14ac:dyDescent="0.25">
      <c r="B127" s="18" t="s">
        <v>168</v>
      </c>
      <c r="C127" s="12">
        <v>6.1</v>
      </c>
    </row>
    <row r="128" spans="2:5" x14ac:dyDescent="0.25">
      <c r="B128" s="18" t="s">
        <v>169</v>
      </c>
      <c r="C128" s="12">
        <f>AVERAGE(D128:E128)</f>
        <v>0.61</v>
      </c>
      <c r="D128" s="18">
        <v>0.43</v>
      </c>
      <c r="E128" s="18">
        <v>0.79</v>
      </c>
    </row>
    <row r="129" spans="2:3" x14ac:dyDescent="0.25">
      <c r="B129" s="18" t="s">
        <v>170</v>
      </c>
      <c r="C129" s="12">
        <v>3.7</v>
      </c>
    </row>
    <row r="130" spans="2:3" x14ac:dyDescent="0.25">
      <c r="B130" s="18" t="s">
        <v>171</v>
      </c>
      <c r="C130" s="12">
        <v>4.5</v>
      </c>
    </row>
    <row r="131" spans="2:3" x14ac:dyDescent="0.25">
      <c r="B131" s="18" t="s">
        <v>172</v>
      </c>
      <c r="C131" s="12">
        <v>42.8</v>
      </c>
    </row>
    <row r="132" spans="2:3" x14ac:dyDescent="0.25">
      <c r="B132" s="18" t="s">
        <v>173</v>
      </c>
      <c r="C132" s="12">
        <v>5.0999999999999996</v>
      </c>
    </row>
    <row r="133" spans="2:3" x14ac:dyDescent="0.25">
      <c r="B133" s="18" t="s">
        <v>174</v>
      </c>
      <c r="C133" s="12">
        <v>7.1</v>
      </c>
    </row>
    <row r="134" spans="2:3" x14ac:dyDescent="0.25">
      <c r="B134" s="18" t="s">
        <v>175</v>
      </c>
      <c r="C134" s="12">
        <v>6.5</v>
      </c>
    </row>
    <row r="135" spans="2:3" x14ac:dyDescent="0.25">
      <c r="B135" s="18" t="s">
        <v>176</v>
      </c>
      <c r="C135" s="12">
        <v>2.9</v>
      </c>
    </row>
    <row r="136" spans="2:3" x14ac:dyDescent="0.25">
      <c r="B136" s="18" t="s">
        <v>177</v>
      </c>
      <c r="C136" s="12">
        <v>5.7</v>
      </c>
    </row>
    <row r="137" spans="2:3" x14ac:dyDescent="0.25">
      <c r="B137" s="18" t="s">
        <v>178</v>
      </c>
      <c r="C137" s="12">
        <v>2.1</v>
      </c>
    </row>
    <row r="138" spans="2:3" x14ac:dyDescent="0.25">
      <c r="B138" s="18" t="s">
        <v>179</v>
      </c>
      <c r="C138" s="12">
        <v>1.7</v>
      </c>
    </row>
    <row r="139" spans="2:3" x14ac:dyDescent="0.25">
      <c r="B139" s="18" t="s">
        <v>180</v>
      </c>
      <c r="C139" s="12">
        <v>1.5</v>
      </c>
    </row>
    <row r="140" spans="2:3" x14ac:dyDescent="0.25">
      <c r="B140" s="18" t="s">
        <v>181</v>
      </c>
      <c r="C140" s="12">
        <v>10.7</v>
      </c>
    </row>
    <row r="141" spans="2:3" x14ac:dyDescent="0.25">
      <c r="B141" s="18" t="s">
        <v>182</v>
      </c>
      <c r="C141" s="12">
        <v>0.08</v>
      </c>
    </row>
    <row r="142" spans="2:3" x14ac:dyDescent="0.25">
      <c r="B142" s="18" t="s">
        <v>183</v>
      </c>
      <c r="C142" s="12">
        <v>5.8</v>
      </c>
    </row>
    <row r="143" spans="2:3" x14ac:dyDescent="0.25">
      <c r="B143" s="18" t="s">
        <v>184</v>
      </c>
      <c r="C143" s="12">
        <v>39.1</v>
      </c>
    </row>
    <row r="144" spans="2:3" x14ac:dyDescent="0.25">
      <c r="B144" s="18" t="s">
        <v>185</v>
      </c>
      <c r="C144" s="12">
        <v>13.4</v>
      </c>
    </row>
    <row r="145" spans="2:3" x14ac:dyDescent="0.25">
      <c r="B145" s="18" t="s">
        <v>186</v>
      </c>
      <c r="C145" s="12">
        <v>4.7</v>
      </c>
    </row>
    <row r="146" spans="2:3" x14ac:dyDescent="0.25">
      <c r="B146" s="18" t="s">
        <v>20</v>
      </c>
      <c r="C146" s="12">
        <v>7.3</v>
      </c>
    </row>
    <row r="147" spans="2:3" x14ac:dyDescent="0.25">
      <c r="B147" s="18" t="s">
        <v>187</v>
      </c>
      <c r="C147" s="12">
        <v>9.6</v>
      </c>
    </row>
    <row r="148" spans="2:3" x14ac:dyDescent="0.25">
      <c r="B148" s="18" t="s">
        <v>188</v>
      </c>
      <c r="C148" s="12">
        <v>8</v>
      </c>
    </row>
    <row r="149" spans="2:3" x14ac:dyDescent="0.25">
      <c r="B149" s="18" t="s">
        <v>189</v>
      </c>
      <c r="C149" s="12">
        <v>8.9</v>
      </c>
    </row>
    <row r="150" spans="2:3" x14ac:dyDescent="0.25">
      <c r="B150" s="18" t="s">
        <v>190</v>
      </c>
      <c r="C150" s="12">
        <v>5.5</v>
      </c>
    </row>
    <row r="151" spans="2:3" x14ac:dyDescent="0.25">
      <c r="B151" s="18" t="s">
        <v>191</v>
      </c>
      <c r="C151" s="12">
        <v>12.5</v>
      </c>
    </row>
    <row r="152" spans="2:3" x14ac:dyDescent="0.25">
      <c r="B152" s="18" t="s">
        <v>192</v>
      </c>
      <c r="C152" s="12">
        <v>3.6</v>
      </c>
    </row>
    <row r="153" spans="2:3" x14ac:dyDescent="0.25">
      <c r="B153" s="18" t="s">
        <v>193</v>
      </c>
      <c r="C153" s="12">
        <v>20.5</v>
      </c>
    </row>
    <row r="154" spans="2:3" x14ac:dyDescent="0.25">
      <c r="B154" s="18" t="s">
        <v>194</v>
      </c>
      <c r="C154" s="12">
        <v>5.7</v>
      </c>
    </row>
    <row r="155" spans="2:3" x14ac:dyDescent="0.25">
      <c r="B155" s="18" t="s">
        <v>195</v>
      </c>
      <c r="C155" s="12">
        <v>6.5</v>
      </c>
    </row>
    <row r="156" spans="2:3" x14ac:dyDescent="0.25">
      <c r="B156" s="18" t="s">
        <v>196</v>
      </c>
      <c r="C156" s="12">
        <v>16.600000000000001</v>
      </c>
    </row>
    <row r="157" spans="2:3" x14ac:dyDescent="0.25">
      <c r="B157" s="18" t="s">
        <v>197</v>
      </c>
      <c r="C157" s="12">
        <v>6.7</v>
      </c>
    </row>
    <row r="158" spans="2:3" x14ac:dyDescent="0.25">
      <c r="B158" s="18" t="s">
        <v>198</v>
      </c>
      <c r="C158" s="12">
        <v>7.4</v>
      </c>
    </row>
    <row r="159" spans="2:3" x14ac:dyDescent="0.25">
      <c r="B159" s="18" t="s">
        <v>199</v>
      </c>
      <c r="C159" s="12">
        <v>13</v>
      </c>
    </row>
    <row r="160" spans="2:3" x14ac:dyDescent="0.25">
      <c r="B160" s="18" t="s">
        <v>200</v>
      </c>
      <c r="C160" s="12">
        <v>4.8</v>
      </c>
    </row>
    <row r="161" spans="2:5" x14ac:dyDescent="0.25">
      <c r="B161" s="18" t="s">
        <v>201</v>
      </c>
      <c r="C161" s="12">
        <v>2.4</v>
      </c>
    </row>
    <row r="162" spans="2:5" x14ac:dyDescent="0.25">
      <c r="B162" s="18" t="s">
        <v>202</v>
      </c>
      <c r="C162" s="12">
        <v>7.7</v>
      </c>
    </row>
    <row r="163" spans="2:5" x14ac:dyDescent="0.25">
      <c r="B163" s="18" t="s">
        <v>203</v>
      </c>
      <c r="C163" s="12">
        <v>4.5</v>
      </c>
    </row>
    <row r="164" spans="2:5" x14ac:dyDescent="0.25">
      <c r="B164" s="18" t="s">
        <v>204</v>
      </c>
      <c r="C164" s="12">
        <f>AVERAGE(D164:E164)</f>
        <v>10.35</v>
      </c>
      <c r="D164" s="18">
        <v>8.6999999999999993</v>
      </c>
      <c r="E164" s="18">
        <v>12</v>
      </c>
    </row>
    <row r="165" spans="2:5" x14ac:dyDescent="0.25">
      <c r="B165" s="18" t="s">
        <v>207</v>
      </c>
      <c r="C165" s="12">
        <v>17</v>
      </c>
    </row>
    <row r="166" spans="2:5" x14ac:dyDescent="0.25">
      <c r="B166" s="18" t="s">
        <v>205</v>
      </c>
      <c r="C166" s="12">
        <v>2.1</v>
      </c>
    </row>
    <row r="167" spans="2:5" x14ac:dyDescent="0.25">
      <c r="B167" s="18" t="s">
        <v>206</v>
      </c>
      <c r="C167" s="12">
        <v>1.7</v>
      </c>
    </row>
    <row r="168" spans="2:5" x14ac:dyDescent="0.25">
      <c r="B168" s="18" t="s">
        <v>208</v>
      </c>
      <c r="C168" s="12">
        <v>2.8</v>
      </c>
    </row>
    <row r="169" spans="2:5" x14ac:dyDescent="0.25">
      <c r="B169" s="18" t="s">
        <v>209</v>
      </c>
      <c r="C169" s="12">
        <v>14.6</v>
      </c>
    </row>
    <row r="170" spans="2:5" x14ac:dyDescent="0.25">
      <c r="B170" s="18" t="s">
        <v>210</v>
      </c>
      <c r="C170" s="12">
        <v>5.9</v>
      </c>
    </row>
    <row r="171" spans="2:5" x14ac:dyDescent="0.25">
      <c r="B171" s="18" t="s">
        <v>211</v>
      </c>
      <c r="C171" s="12">
        <v>16.5</v>
      </c>
    </row>
    <row r="172" spans="2:5" x14ac:dyDescent="0.25">
      <c r="B172" s="18" t="s">
        <v>212</v>
      </c>
      <c r="C172" s="12">
        <v>3.2</v>
      </c>
    </row>
  </sheetData>
  <hyperlinks>
    <hyperlink ref="B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Initial</vt:lpstr>
      <vt:lpstr>Truck on Earth</vt:lpstr>
      <vt:lpstr>Buckle</vt:lpstr>
      <vt:lpstr>Temp</vt:lpstr>
      <vt:lpstr>Mission Selection</vt:lpstr>
      <vt:lpstr>Planet Design</vt:lpstr>
      <vt:lpstr>Truck on Planet</vt:lpstr>
      <vt:lpstr>Launch Cost</vt:lpstr>
      <vt:lpstr>Temp Co</vt:lpstr>
      <vt:lpstr>Planet Temp</vt:lpstr>
      <vt:lpstr>Planet Gravity</vt:lpstr>
      <vt:lpstr>Material Weight</vt:lpstr>
      <vt:lpstr>Poisson</vt:lpstr>
      <vt:lpstr>Standard Cables</vt:lpstr>
    </vt:vector>
  </TitlesOfParts>
  <Company>Ivy Tech Community College - Northeast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Bell</dc:creator>
  <cp:lastModifiedBy>Charity Anne Fischer</cp:lastModifiedBy>
  <dcterms:created xsi:type="dcterms:W3CDTF">2014-02-12T13:50:44Z</dcterms:created>
  <dcterms:modified xsi:type="dcterms:W3CDTF">2018-05-08T20:11:24Z</dcterms:modified>
</cp:coreProperties>
</file>